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61ZQ04ts7ztEZPpJDI4RrvEbsNF041kyejSzFXi6eWSMqyllI1Ip46y/g9NvGHTu/DJh6H74XhXtNu+WMWCtQ==" workbookSaltValue="FdxWsDjCmKhgZ63asgZP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C11" i="11" s="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F17" i="8"/>
  <c r="AB19" i="19"/>
  <c r="BF9" i="13"/>
  <c r="E18" i="12"/>
  <c r="ER19" i="8"/>
  <c r="EL19" i="8"/>
  <c r="EQ19" i="8"/>
  <c r="AP12" i="11"/>
  <c r="Y11" i="11"/>
  <c r="AT18" i="17"/>
  <c r="AL10" i="11"/>
  <c r="N10" i="11"/>
  <c r="N9" i="11"/>
  <c r="T10" i="21"/>
  <c r="V10" i="21" s="1"/>
  <c r="F10" i="10"/>
  <c r="N11" i="11"/>
  <c r="ES19" i="8"/>
  <c r="C18" i="7"/>
  <c r="S19" i="13"/>
  <c r="AG19" i="19"/>
  <c r="F9" i="11"/>
  <c r="CI19" i="8"/>
  <c r="AE19" i="8"/>
  <c r="EP19" i="8"/>
  <c r="ER19" i="13"/>
  <c r="AL13" i="16"/>
  <c r="T9" i="11"/>
  <c r="BF11" i="11"/>
  <c r="BH11" i="16"/>
  <c r="BL9" i="11"/>
  <c r="BH17" i="16"/>
  <c r="BG10" i="11"/>
  <c r="BM16" i="11"/>
  <c r="P17" i="17"/>
  <c r="BL17" i="11"/>
  <c r="BK12" i="11"/>
  <c r="BF10" i="11"/>
  <c r="BK9" i="11"/>
  <c r="R12" i="14"/>
  <c r="S13" i="16"/>
  <c r="V12" i="21"/>
  <c r="H18" i="16"/>
  <c r="P13" i="16"/>
  <c r="AN13" i="20"/>
  <c r="F15" i="17"/>
  <c r="Z13" i="17"/>
  <c r="AC10" i="11"/>
  <c r="H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Y13" i="8"/>
  <c r="BD12" i="8"/>
  <c r="H12" i="7" s="1"/>
  <c r="BG15" i="8"/>
  <c r="BE9" i="8"/>
  <c r="X12" i="17"/>
  <c r="AV18" i="17"/>
  <c r="J18" i="17"/>
  <c r="U9" i="17"/>
  <c r="U19" i="17" s="1"/>
  <c r="T13" i="16"/>
  <c r="AP13" i="1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9" i="3"/>
  <c r="G16" i="3"/>
  <c r="AW18" i="21"/>
  <c r="F11" i="11"/>
  <c r="AQ11" i="11" s="1"/>
  <c r="C11" i="6"/>
  <c r="T13" i="12"/>
  <c r="BG10" i="8"/>
  <c r="K10" i="7" s="1"/>
  <c r="AB19" i="8"/>
  <c r="BD9" i="8"/>
  <c r="Z19" i="8"/>
  <c r="E9" i="6"/>
  <c r="E11" i="6"/>
  <c r="AO9" i="11"/>
  <c r="B12" i="6"/>
  <c r="AO12" i="11"/>
  <c r="F9" i="2"/>
  <c r="B9" i="6"/>
  <c r="AO12" i="17"/>
  <c r="B17" i="6"/>
  <c r="C17" i="6"/>
  <c r="I17" i="12" s="1"/>
  <c r="M13" i="2"/>
  <c r="M19" i="2" s="1"/>
  <c r="M18" i="2"/>
  <c r="N18" i="2"/>
  <c r="H12" i="2"/>
  <c r="BF11" i="8"/>
  <c r="BF9" i="8"/>
  <c r="J9" i="7" s="1"/>
  <c r="BD15" i="8"/>
  <c r="H15" i="7" s="1"/>
  <c r="BE15" i="8"/>
  <c r="BG16" i="8"/>
  <c r="C10" i="6"/>
  <c r="E18" i="2"/>
  <c r="F18" i="2" s="1"/>
  <c r="AO17" i="11"/>
  <c r="AL15" i="11"/>
  <c r="L16" i="14"/>
  <c r="F15" i="11"/>
  <c r="AQ15" i="11" s="1"/>
  <c r="AY13" i="13"/>
  <c r="BG13" i="13" s="1"/>
  <c r="BE9" i="13"/>
  <c r="BG16" i="13"/>
  <c r="AZ18" i="13"/>
  <c r="BE15" i="13"/>
  <c r="AO16" i="17"/>
  <c r="H15" i="2"/>
  <c r="E15" i="6"/>
  <c r="K15" i="12" s="1"/>
  <c r="B16" i="6"/>
  <c r="BB13" i="13"/>
  <c r="D11" i="12"/>
  <c r="D12" i="12"/>
  <c r="BG9" i="8"/>
  <c r="K9" i="7" s="1"/>
  <c r="BD11" i="8"/>
  <c r="BE11" i="8"/>
  <c r="I11" i="7" s="1"/>
  <c r="BG12" i="8"/>
  <c r="BE12" i="8"/>
  <c r="I12" i="7" s="1"/>
  <c r="L11" i="14"/>
  <c r="F12" i="11"/>
  <c r="AQ12" i="11"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P15" i="17"/>
  <c r="BF12" i="11"/>
  <c r="P12" i="11" s="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F18" i="11"/>
  <c r="B19" i="7"/>
  <c r="I10" i="12"/>
  <c r="D19" i="12"/>
  <c r="F19" i="7"/>
  <c r="K9" i="12"/>
  <c r="H13" i="2"/>
  <c r="AL18" i="11"/>
  <c r="C18" i="6"/>
  <c r="S18" i="14"/>
  <c r="X13" i="16"/>
  <c r="G21" i="11"/>
  <c r="AM13" i="11"/>
  <c r="I11" i="12"/>
  <c r="Y13" i="11"/>
  <c r="BU21" i="17"/>
  <c r="BI18" i="11"/>
  <c r="Q19" i="20"/>
  <c r="Q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<sst xmlns="http://schemas.openxmlformats.org/spreadsheetml/2006/main" count="2088" uniqueCount="917">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</sst>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CioaDGtNphFkenEWGrE494hoeH36n4gSNI8jfKizGccWPLzjIJuqWL+sfD5xNR2jPhVzRUtuhaoK+82mIbGpg==" saltValue="kwmJkBCJ7xrOmOiaGpwJ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26.091463414634148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186</v>
      </c>
      <c r="D10" s="224">
        <f>IF(ISNUMBER(Datos!I10),Datos!I10," - ")</f>
        <v>186</v>
      </c>
      <c r="E10" s="225">
        <f>IF(ISNUMBER(Datos!J10),Datos!J10," - ")</f>
        <v>100</v>
      </c>
      <c r="F10" s="225">
        <f>IF(ISNUMBER(Datos!K10),Datos!K10," - ")</f>
        <v>103</v>
      </c>
      <c r="G10" s="1033" t="str">
        <f>IF(Datos!E10&lt;&gt;"",Datos!E10,Datos!D10)</f>
        <v>37</v>
      </c>
      <c r="H10" s="226">
        <f>IF(ISNUMBER(Datos!L10),Datos!L10," - ")</f>
        <v>183</v>
      </c>
      <c r="I10" s="1043" t="str">
        <f>IF(ISNUMBER(Datos!AS10/Datos!BM10),Datos!AS10/Datos!BM10," - ")</f>
        <v xml:space="preserve"> - </v>
      </c>
      <c r="J10" s="1044">
        <f>IF(ISNUMBER(Datos!BY10/Datos!CN10),Datos!BY10/Datos!CN10," - ")</f>
        <v>0</v>
      </c>
      <c r="K10" s="229">
        <f t="shared" ref="K10:K12" si="1">IF(ISNUMBER((E10-F10)/C10),(E10-F10)/C10," - ")</f>
        <v>-1.6129032258064516E-2</v>
      </c>
      <c r="L10" s="1024">
        <f>IF(ISNUMBER(NºAsuntos!I10/NºAsuntos!G10),(NºAsuntos!I10/NºAsuntos!G10)*11," - ")</f>
        <v>19.543689320388349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12.229540918163673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186</v>
      </c>
      <c r="D13" s="1048">
        <f>SUBTOTAL(9,D9:D12)</f>
        <v>186</v>
      </c>
      <c r="E13" s="1049">
        <f>SUBTOTAL(9,E9:E12)</f>
        <v>100</v>
      </c>
      <c r="F13" s="1050">
        <f>SUBTOTAL(9,F9:F12)</f>
        <v>103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5986</v>
      </c>
      <c r="D15" s="224">
        <f>IF(ISNUMBER(IF(D_I="SI",Datos!I15,Datos!I15+Datos!AC15)),IF(D_I="SI",Datos!I15,Datos!I15+Datos!AC15)," - ")</f>
        <v>5764</v>
      </c>
      <c r="E15" s="225">
        <f>IF(ISNUMBER(IF(D_I="SI",Datos!J15,Datos!J15+Datos!AD15)),IF(D_I="SI",Datos!J15,Datos!J15+Datos!AD15)," - ")</f>
        <v>11009</v>
      </c>
      <c r="F15" s="225">
        <f>IF(ISNUMBER(IF(D_I="SI",Datos!K15,Datos!K15+Datos!AE15)),IF(D_I="SI",Datos!K15,Datos!K15+Datos!AE15)," - ")</f>
        <v>10594</v>
      </c>
      <c r="G15" s="1033" t="str">
        <f>IF(Datos!E15&lt;&gt;"",Datos!E15,Datos!D15)</f>
        <v>03</v>
      </c>
      <c r="H15" s="226">
        <f>IF(ISNUMBER(IF(D_I="SI",Datos!L15,Datos!L15+Datos!AF15)),IF(D_I="SI",Datos!L15,Datos!L15+Datos!AF15)," - ")</f>
        <v>6401</v>
      </c>
      <c r="I15" s="1043" t="str">
        <f>IF(ISNUMBER(Datos!AS15/Datos!BM15),Datos!AS15/Datos!BM15," - ")</f>
        <v xml:space="preserve"> - </v>
      </c>
      <c r="J15" s="1044">
        <f>IF(ISNUMBER(Datos!BY15/Datos!CN15),Datos!BY15/Datos!CN15," - ")</f>
        <v>0</v>
      </c>
      <c r="K15" s="229">
        <f t="shared" ref="K15:K17" si="3">IF(ISNUMBER((E15-F15)/C15),(E15-F15)/C15," - ")</f>
        <v>6.9328433010357501E-2</v>
      </c>
      <c r="L15" s="1024">
        <f>IF(ISNUMBER(NºAsuntos!I15/NºAsuntos!G15),(NºAsuntos!I15/NºAsuntos!G15)*11," - ")</f>
        <v>6.6463092316405517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338</v>
      </c>
      <c r="D17" s="224">
        <f>IF(ISNUMBER(IF(D_I="SI",Datos!I17,Datos!I17+Datos!AC17)),IF(D_I="SI",Datos!I17,Datos!I17+Datos!AC17)," - ")</f>
        <v>318</v>
      </c>
      <c r="E17" s="225">
        <f>IF(ISNUMBER(IF(D_I="SI",Datos!J17,Datos!J17+Datos!AD17)),IF(D_I="SI",Datos!J17,Datos!J17+Datos!AD17)," - ")</f>
        <v>1282</v>
      </c>
      <c r="F17" s="225">
        <f>IF(ISNUMBER(IF(D_I="SI",Datos!K17,Datos!K17+Datos!AE17)),IF(D_I="SI",Datos!K17,Datos!K17+Datos!AE17)," - ")</f>
        <v>1306</v>
      </c>
      <c r="G17" s="1033" t="str">
        <f>IF(Datos!E17&lt;&gt;"",Datos!E17,Datos!D17)</f>
        <v>37</v>
      </c>
      <c r="H17" s="226">
        <f>IF(ISNUMBER(IF(D_I="SI",Datos!L17,Datos!L17+Datos!AF17)),IF(D_I="SI",Datos!L17,Datos!L17+Datos!AF17)," - ")</f>
        <v>314</v>
      </c>
      <c r="I17" s="1043" t="str">
        <f>IF(ISNUMBER(Datos!AS17/Datos!BM17),Datos!AS17/Datos!BM17," - ")</f>
        <v xml:space="preserve"> - </v>
      </c>
      <c r="J17" s="1044" t="str">
        <f>IF(ISNUMBER((Datos!BY17+Datos!BZ17)/Datos!CN17),(Datos!BY17+Datos!BZ17)/Datos!CN17," - ")</f>
        <v xml:space="preserve"> - </v>
      </c>
      <c r="K17" s="229">
        <f t="shared" si="3"/>
        <v>-7.1005917159763315E-2</v>
      </c>
      <c r="L17" s="1024">
        <f>IF(ISNUMBER(NºAsuntos!I17/NºAsuntos!G17),(NºAsuntos!I17/NºAsuntos!G17)*11," - ")</f>
        <v>2.6447166921898928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6324</v>
      </c>
      <c r="D18" s="1048">
        <f>SUBTOTAL(9,D15:D17)</f>
        <v>6082</v>
      </c>
      <c r="E18" s="1049">
        <f>SUBTOTAL(9,E15:E17)</f>
        <v>12291</v>
      </c>
      <c r="F18" s="1049">
        <f>SUBTOTAL(9,F15:F17)</f>
        <v>11900</v>
      </c>
      <c r="G18" s="1051" t="str">
        <f ca="1">INDIRECT(CONCATENATE("G",ROW()-1))</f>
        <v>37</v>
      </c>
      <c r="H18" s="1052">
        <f ca="1">SUMIF(G$14:G17,G18,H$14:H17)</f>
        <v>314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6510</v>
      </c>
      <c r="D19" s="1070">
        <f>SUBTOTAL(9,D9:D18)</f>
        <v>6268</v>
      </c>
      <c r="E19" s="1071">
        <f>SUBTOTAL(9,E9:E18)</f>
        <v>12391</v>
      </c>
      <c r="F19" s="1071">
        <f>SUBTOTAL(9,F9:F18)</f>
        <v>12003</v>
      </c>
      <c r="G19" s="1072"/>
      <c r="H19" s="1073">
        <f ca="1">SUMIF(B9:B18,"TOTAL",H9:H18)</f>
        <v>314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GW9kMYtfpJDOiGcTVnxUEqtxN7msA63UdtUEmlYvI+8fywuyjSjkHQ06o/NyXxyQcvExp6CDwrvHfTX6U3vgg==" saltValue="GAyKWpuZi95u4C80sLrQ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GT71gJmqqyam6tw1HGI7hl2ZlQwEXMNFPVICbATDiZy5Nb7QtO8L/NvG1Rt6XjJ4PfqyXylEzhWrEINoJjbng==" saltValue="opVUTH+bmUD+rB3s9dWq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23194</v>
      </c>
      <c r="J9" s="180">
        <v>5953</v>
      </c>
      <c r="K9" s="180">
        <v>8592</v>
      </c>
      <c r="L9" s="180">
        <v>20845</v>
      </c>
      <c r="M9" s="180">
        <v>2697</v>
      </c>
      <c r="N9" s="180">
        <v>3014</v>
      </c>
      <c r="O9" s="180">
        <v>4054</v>
      </c>
      <c r="P9" s="180">
        <v>2702</v>
      </c>
      <c r="Q9" s="180">
        <v>4861</v>
      </c>
      <c r="R9" s="180">
        <v>38379</v>
      </c>
      <c r="S9" s="180">
        <v>25704</v>
      </c>
      <c r="T9" s="180">
        <v>8836</v>
      </c>
      <c r="U9" s="180">
        <v>8734</v>
      </c>
      <c r="V9" s="180">
        <v>25806</v>
      </c>
      <c r="W9" s="180">
        <v>3433</v>
      </c>
      <c r="X9" s="187">
        <v>3012</v>
      </c>
      <c r="Y9" s="190">
        <v>455</v>
      </c>
      <c r="Z9" s="180">
        <v>521</v>
      </c>
      <c r="AA9" s="180">
        <v>428</v>
      </c>
      <c r="AB9" s="180">
        <v>550</v>
      </c>
      <c r="AC9" s="180">
        <v>0</v>
      </c>
      <c r="AD9" s="180">
        <v>0</v>
      </c>
      <c r="AE9" s="180">
        <v>0</v>
      </c>
      <c r="AF9" s="187">
        <v>0</v>
      </c>
      <c r="AG9" s="190">
        <v>354</v>
      </c>
      <c r="AH9" s="180">
        <v>339</v>
      </c>
      <c r="AI9" s="180">
        <v>361</v>
      </c>
      <c r="AJ9" s="191">
        <v>332</v>
      </c>
      <c r="AK9" s="179">
        <v>0</v>
      </c>
      <c r="AL9" s="180">
        <v>0</v>
      </c>
      <c r="AM9" s="180">
        <v>0</v>
      </c>
      <c r="AN9" s="187">
        <v>0</v>
      </c>
      <c r="AO9" s="257">
        <v>19</v>
      </c>
      <c r="AP9" s="153">
        <v>19</v>
      </c>
      <c r="AQ9" s="153">
        <v>19</v>
      </c>
      <c r="AR9" s="192">
        <v>19</v>
      </c>
      <c r="AS9" s="337" t="s">
        <v>791</v>
      </c>
      <c r="AT9" s="194"/>
      <c r="AU9" s="193"/>
      <c r="AV9" s="194"/>
      <c r="AW9" s="193"/>
      <c r="AX9" s="194"/>
      <c r="AY9" s="123">
        <f>IF(ISNUMBER(IF(J_V="SI",S9,S9+AG9)),IF(J_V="SI",S9,S9+AG9)," - ")</f>
        <v>26058</v>
      </c>
      <c r="AZ9" s="123">
        <f>IF(ISNUMBER(IF(J_V="SI",T9,T9+AH9)),IF(J_V="SI",T9,T9+AH9)," - ")</f>
        <v>9175</v>
      </c>
      <c r="BA9" s="124">
        <f>IF(ISNUMBER(IF(J_V="SI",U9,U9+AI9)),IF(J_V="SI",U9,U9+AI9)," - ")</f>
        <v>9095</v>
      </c>
      <c r="BB9" s="124">
        <f>IF(ISNUMBER(IF(J_V="SI",V9,V9+AJ9)),IF(J_V="SI",V9,V9+AJ9)," - ")</f>
        <v>26138</v>
      </c>
      <c r="BC9" s="125">
        <f>IF(ISNUMBER(X9),X9," - ")</f>
        <v>3012</v>
      </c>
      <c r="BD9" s="126">
        <f>IF(ISNUMBER(BA9/AZ9),BA9/AZ9," - ")</f>
        <v>0.99128065395095366</v>
      </c>
      <c r="BE9" s="127">
        <f>IF(ISNUMBER(BB9/BA9),BB9/BA9, " - ")</f>
        <v>2.8738867509620669</v>
      </c>
      <c r="BF9" s="127">
        <f>IF(ISNUMBER(BC9/BA9),BC9/BA9, " - ")</f>
        <v>0.33117097306212206</v>
      </c>
      <c r="BG9" s="195">
        <f>IF(ISNUMBER((AY9+AZ9)/BA9),(AY9+AZ9)/BA9," - ")</f>
        <v>3.8738867509620669</v>
      </c>
      <c r="BH9" s="153">
        <v>19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186</v>
      </c>
      <c r="J10" s="180">
        <v>100</v>
      </c>
      <c r="K10" s="180">
        <v>103</v>
      </c>
      <c r="L10" s="180">
        <v>183</v>
      </c>
      <c r="M10" s="180">
        <v>44</v>
      </c>
      <c r="N10" s="180">
        <v>46</v>
      </c>
      <c r="O10" s="180">
        <v>29</v>
      </c>
      <c r="P10" s="180">
        <v>18</v>
      </c>
      <c r="Q10" s="180">
        <v>95</v>
      </c>
      <c r="R10" s="180">
        <v>281</v>
      </c>
      <c r="S10" s="180">
        <v>160</v>
      </c>
      <c r="T10" s="180">
        <v>121</v>
      </c>
      <c r="U10" s="180">
        <v>105</v>
      </c>
      <c r="V10" s="180">
        <v>176</v>
      </c>
      <c r="W10" s="180">
        <v>29</v>
      </c>
      <c r="X10" s="187">
        <v>61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160</v>
      </c>
      <c r="AZ10" s="129">
        <f t="shared" si="0"/>
        <v>121</v>
      </c>
      <c r="BA10" s="129">
        <f t="shared" si="0"/>
        <v>105</v>
      </c>
      <c r="BB10" s="129">
        <f t="shared" si="0"/>
        <v>176</v>
      </c>
      <c r="BC10" s="125">
        <f t="shared" si="0"/>
        <v>29</v>
      </c>
      <c r="BD10" s="126">
        <f>IF(ISNUMBER(BA10/AZ10),BA10/AZ10," - ")</f>
        <v>0.86776859504132231</v>
      </c>
      <c r="BE10" s="127">
        <f>IF(ISNUMBER(BB10/BA10),BB10/BA10, " - ")</f>
        <v>1.6761904761904762</v>
      </c>
      <c r="BF10" s="127">
        <f>IF(ISNUMBER(BC10/BA10),BC10/BA10, " - ")</f>
        <v>0.27619047619047621</v>
      </c>
      <c r="BG10" s="195">
        <f>IF(ISNUMBER((AY10+AZ10)/BA10),(AY10+AZ10)/BA10," - ")</f>
        <v>2.676190476190476</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1103</v>
      </c>
      <c r="J11" s="182">
        <v>728</v>
      </c>
      <c r="K11" s="182">
        <v>828</v>
      </c>
      <c r="L11" s="182">
        <v>1003</v>
      </c>
      <c r="M11" s="182">
        <v>353</v>
      </c>
      <c r="N11" s="182">
        <v>322</v>
      </c>
      <c r="O11" s="180">
        <v>371</v>
      </c>
      <c r="P11" s="182">
        <v>142</v>
      </c>
      <c r="Q11" s="182">
        <v>256</v>
      </c>
      <c r="R11" s="182">
        <v>1311</v>
      </c>
      <c r="S11" s="182">
        <v>1284</v>
      </c>
      <c r="T11" s="182">
        <v>787</v>
      </c>
      <c r="U11" s="182">
        <v>727</v>
      </c>
      <c r="V11" s="182">
        <v>1344</v>
      </c>
      <c r="W11" s="182">
        <v>306</v>
      </c>
      <c r="X11" s="188">
        <v>427</v>
      </c>
      <c r="Y11" s="190">
        <v>120</v>
      </c>
      <c r="Z11" s="180">
        <v>165</v>
      </c>
      <c r="AA11" s="180">
        <v>174</v>
      </c>
      <c r="AB11" s="180">
        <v>111</v>
      </c>
      <c r="AC11" s="182">
        <v>0</v>
      </c>
      <c r="AD11" s="182">
        <v>0</v>
      </c>
      <c r="AE11" s="182">
        <v>0</v>
      </c>
      <c r="AF11" s="188">
        <v>0</v>
      </c>
      <c r="AG11" s="201">
        <v>104</v>
      </c>
      <c r="AH11" s="182">
        <v>153</v>
      </c>
      <c r="AI11" s="182">
        <v>157</v>
      </c>
      <c r="AJ11" s="202">
        <v>100</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1388</v>
      </c>
      <c r="AZ11" s="127">
        <f t="shared" si="1"/>
        <v>940</v>
      </c>
      <c r="BA11" s="127">
        <f t="shared" si="1"/>
        <v>884</v>
      </c>
      <c r="BB11" s="127">
        <f t="shared" si="1"/>
        <v>1444</v>
      </c>
      <c r="BC11" s="125">
        <f>IF(ISNUMBER(X11),X11," - ")</f>
        <v>427</v>
      </c>
      <c r="BD11" s="126">
        <f t="shared" ref="BD11:BD12" si="2">IF(ISNUMBER(BA11/AZ11),BA11/AZ11," - ")</f>
        <v>0.94042553191489364</v>
      </c>
      <c r="BE11" s="127">
        <f t="shared" ref="BE11:BE12" si="3">IF(ISNUMBER(BB11/BA11),BB11/BA11, " - ")</f>
        <v>1.6334841628959276</v>
      </c>
      <c r="BF11" s="127">
        <f t="shared" ref="BF11:BF12" si="4">IF(ISNUMBER(BC11/BA11),BC11/BA11, " - ")</f>
        <v>0.4830316742081448</v>
      </c>
      <c r="BG11" s="195">
        <f t="shared" ref="BG11:BG12" si="5">IF(ISNUMBER((AY11+AZ11)/BA11),(AY11+AZ11)/BA11," - ")</f>
        <v>2.6334841628959276</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24483</v>
      </c>
      <c r="J13" s="183">
        <f t="shared" si="6"/>
        <v>6781</v>
      </c>
      <c r="K13" s="183">
        <f t="shared" si="6"/>
        <v>9523</v>
      </c>
      <c r="L13" s="183">
        <f t="shared" si="6"/>
        <v>22031</v>
      </c>
      <c r="M13" s="183">
        <f t="shared" si="6"/>
        <v>3094</v>
      </c>
      <c r="N13" s="183">
        <f t="shared" si="6"/>
        <v>3382</v>
      </c>
      <c r="O13" s="183">
        <f t="shared" si="6"/>
        <v>4454</v>
      </c>
      <c r="P13" s="183">
        <f t="shared" si="6"/>
        <v>2862</v>
      </c>
      <c r="Q13" s="183">
        <f t="shared" si="6"/>
        <v>5212</v>
      </c>
      <c r="R13" s="183">
        <f t="shared" si="6"/>
        <v>39971</v>
      </c>
      <c r="S13" s="183">
        <f t="shared" si="6"/>
        <v>27148</v>
      </c>
      <c r="T13" s="183">
        <f t="shared" si="6"/>
        <v>9744</v>
      </c>
      <c r="U13" s="183">
        <f t="shared" si="6"/>
        <v>9566</v>
      </c>
      <c r="V13" s="183">
        <f t="shared" si="6"/>
        <v>27326</v>
      </c>
      <c r="W13" s="183">
        <f t="shared" si="6"/>
        <v>3768</v>
      </c>
      <c r="X13" s="183">
        <f t="shared" si="6"/>
        <v>3500</v>
      </c>
      <c r="Y13" s="183">
        <f t="shared" si="6"/>
        <v>575</v>
      </c>
      <c r="Z13" s="183">
        <f t="shared" si="6"/>
        <v>686</v>
      </c>
      <c r="AA13" s="183">
        <f t="shared" si="6"/>
        <v>602</v>
      </c>
      <c r="AB13" s="183">
        <f t="shared" si="6"/>
        <v>661</v>
      </c>
      <c r="AC13" s="183">
        <f t="shared" si="6"/>
        <v>0</v>
      </c>
      <c r="AD13" s="183">
        <f t="shared" si="6"/>
        <v>0</v>
      </c>
      <c r="AE13" s="183">
        <f t="shared" si="6"/>
        <v>0</v>
      </c>
      <c r="AF13" s="183">
        <f>SUBTOTAL(9,AF9:AF12)</f>
        <v>0</v>
      </c>
      <c r="AG13" s="183">
        <f t="shared" ref="AG13:AT13" si="7">SUBTOTAL(9,AG8:AG12)</f>
        <v>458</v>
      </c>
      <c r="AH13" s="183">
        <f t="shared" si="7"/>
        <v>492</v>
      </c>
      <c r="AI13" s="183">
        <f t="shared" si="7"/>
        <v>518</v>
      </c>
      <c r="AJ13" s="183">
        <f t="shared" si="7"/>
        <v>432</v>
      </c>
      <c r="AK13" s="183">
        <f t="shared" si="7"/>
        <v>0</v>
      </c>
      <c r="AL13" s="183">
        <f t="shared" si="7"/>
        <v>0</v>
      </c>
      <c r="AM13" s="183">
        <f t="shared" si="7"/>
        <v>0</v>
      </c>
      <c r="AN13" s="183">
        <f t="shared" si="7"/>
        <v>0</v>
      </c>
      <c r="AO13" s="183">
        <f t="shared" si="7"/>
        <v>26</v>
      </c>
      <c r="AP13" s="183">
        <f t="shared" si="7"/>
        <v>26</v>
      </c>
      <c r="AQ13" s="183">
        <f t="shared" si="7"/>
        <v>26</v>
      </c>
      <c r="AR13" s="183">
        <f t="shared" si="7"/>
        <v>26</v>
      </c>
      <c r="AS13" s="183">
        <f t="shared" si="7"/>
        <v>0</v>
      </c>
      <c r="AT13" s="183">
        <f t="shared" si="7"/>
        <v>0</v>
      </c>
      <c r="AU13" s="203"/>
      <c r="AV13" s="132"/>
      <c r="AW13" s="203"/>
      <c r="AX13" s="132"/>
      <c r="AY13" s="183">
        <f>SUBTOTAL(9,AY8:AY12)</f>
        <v>27606</v>
      </c>
      <c r="AZ13" s="183">
        <f>SUBTOTAL(9,AZ8:AZ12)</f>
        <v>10236</v>
      </c>
      <c r="BA13" s="183">
        <f>SUBTOTAL(9,BA8:BA12)</f>
        <v>10084</v>
      </c>
      <c r="BB13" s="183">
        <f>SUBTOTAL(9,BB8:BB12)</f>
        <v>27758</v>
      </c>
      <c r="BC13" s="183">
        <f>SUBTOTAL(9,BC8:BC12)</f>
        <v>3468</v>
      </c>
      <c r="BD13" s="204">
        <f>IF(ISNUMBER(BA13/AZ13),BA13/AZ13," - ")</f>
        <v>0.98515044939429464</v>
      </c>
      <c r="BE13" s="205">
        <f>IF(ISNUMBER(BB13/BA13),BB13/BA13, " - ")</f>
        <v>2.7526775089250299</v>
      </c>
      <c r="BF13" s="205">
        <f>IF(ISNUMBER(BC13/BA13),BC13/BA13, " - ")</f>
        <v>0.34391114637048792</v>
      </c>
      <c r="BG13" s="206">
        <f>IF(ISNUMBER((AY13+AZ13)/BA13),(AY13+AZ13)/BA13," - ")</f>
        <v>3.7526775089250299</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5764</v>
      </c>
      <c r="J15" s="182">
        <v>11009</v>
      </c>
      <c r="K15" s="182">
        <v>10594</v>
      </c>
      <c r="L15" s="182">
        <v>6401</v>
      </c>
      <c r="M15" s="182">
        <v>766</v>
      </c>
      <c r="N15" s="182">
        <v>7266</v>
      </c>
      <c r="O15" s="180">
        <v>315</v>
      </c>
      <c r="P15" s="182">
        <v>381</v>
      </c>
      <c r="Q15" s="182">
        <v>448</v>
      </c>
      <c r="R15" s="182">
        <v>1130</v>
      </c>
      <c r="S15" s="182">
        <v>6154</v>
      </c>
      <c r="T15" s="182">
        <v>10788</v>
      </c>
      <c r="U15" s="182">
        <v>10475</v>
      </c>
      <c r="V15" s="182">
        <v>6437</v>
      </c>
      <c r="W15" s="182">
        <v>807</v>
      </c>
      <c r="X15" s="188">
        <v>7464</v>
      </c>
      <c r="Y15" s="201">
        <v>0</v>
      </c>
      <c r="Z15" s="182">
        <v>0</v>
      </c>
      <c r="AA15" s="182">
        <v>0</v>
      </c>
      <c r="AB15" s="182">
        <v>0</v>
      </c>
      <c r="AC15" s="182">
        <v>6</v>
      </c>
      <c r="AD15" s="182">
        <v>401</v>
      </c>
      <c r="AE15" s="182">
        <v>399</v>
      </c>
      <c r="AF15" s="188">
        <v>8</v>
      </c>
      <c r="AG15" s="201">
        <v>0</v>
      </c>
      <c r="AH15" s="182">
        <v>0</v>
      </c>
      <c r="AI15" s="182">
        <v>0</v>
      </c>
      <c r="AJ15" s="202">
        <v>0</v>
      </c>
      <c r="AK15" s="181">
        <v>5</v>
      </c>
      <c r="AL15" s="182">
        <v>521</v>
      </c>
      <c r="AM15" s="182">
        <v>511</v>
      </c>
      <c r="AN15" s="188">
        <v>15</v>
      </c>
      <c r="AO15" s="258">
        <v>12</v>
      </c>
      <c r="AP15" s="154">
        <v>12</v>
      </c>
      <c r="AQ15" s="154">
        <v>12</v>
      </c>
      <c r="AR15" s="154">
        <v>12</v>
      </c>
      <c r="AS15" s="339" t="s">
        <v>522</v>
      </c>
      <c r="AT15" s="202" t="s">
        <v>326</v>
      </c>
      <c r="AU15" s="201"/>
      <c r="AV15" s="202"/>
      <c r="AW15" s="201"/>
      <c r="AX15" s="202"/>
      <c r="AY15" s="128">
        <f t="shared" ref="AY15:BB16" si="9">IF(ISNUMBER(IF(D_I="SI",S15,S15+AK15)),IF(D_I="SI",S15,S15+AK15)," - ")</f>
        <v>6154</v>
      </c>
      <c r="AZ15" s="129">
        <f t="shared" si="9"/>
        <v>10788</v>
      </c>
      <c r="BA15" s="129">
        <f t="shared" si="9"/>
        <v>10475</v>
      </c>
      <c r="BB15" s="129">
        <f t="shared" si="9"/>
        <v>6437</v>
      </c>
      <c r="BC15" s="125">
        <f>IF(ISNUMBER(W15),W15," - ")</f>
        <v>807</v>
      </c>
      <c r="BD15" s="126">
        <f>IF(ISNUMBER(BA15/AZ15),BA15/AZ15," - ")</f>
        <v>0.97098628105302187</v>
      </c>
      <c r="BE15" s="127">
        <f>IF(ISNUMBER(BB15/BA15),BB15/BA15, " - ")</f>
        <v>0.61451073985680194</v>
      </c>
      <c r="BF15" s="127">
        <f>IF(ISNUMBER(BC15/BA15),BC15/BA15, " - ")</f>
        <v>7.7040572792362774E-2</v>
      </c>
      <c r="BG15" s="195">
        <f t="shared" ref="BG15:BG16" si="10">IF(ISNUMBER((AY15+AZ15)/BA15),(AY15+AZ15)/BA15," - ")</f>
        <v>1.6173747016706443</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318</v>
      </c>
      <c r="J17" s="182">
        <v>1282</v>
      </c>
      <c r="K17" s="182">
        <v>1306</v>
      </c>
      <c r="L17" s="182">
        <v>314</v>
      </c>
      <c r="M17" s="182">
        <v>157</v>
      </c>
      <c r="N17" s="182">
        <v>658</v>
      </c>
      <c r="O17" s="182">
        <v>19</v>
      </c>
      <c r="P17" s="182">
        <v>38</v>
      </c>
      <c r="Q17" s="182">
        <v>16</v>
      </c>
      <c r="R17" s="182">
        <v>61</v>
      </c>
      <c r="S17" s="182">
        <v>419</v>
      </c>
      <c r="T17" s="182">
        <v>1583</v>
      </c>
      <c r="U17" s="182">
        <v>1574</v>
      </c>
      <c r="V17" s="182">
        <v>443</v>
      </c>
      <c r="W17" s="182">
        <v>168</v>
      </c>
      <c r="X17" s="188">
        <v>850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419</v>
      </c>
      <c r="AZ17" s="129">
        <f t="shared" si="14"/>
        <v>1583</v>
      </c>
      <c r="BA17" s="129">
        <f t="shared" si="14"/>
        <v>1574</v>
      </c>
      <c r="BB17" s="129">
        <f t="shared" si="14"/>
        <v>443</v>
      </c>
      <c r="BC17" s="125">
        <f>IF(ISNUMBER(W17),W17," - ")</f>
        <v>168</v>
      </c>
      <c r="BD17" s="126">
        <f>IF(ISNUMBER(BA17/AZ17),BA17/AZ17," - ")</f>
        <v>0.99431459254579913</v>
      </c>
      <c r="BE17" s="127">
        <f>IF(ISNUMBER(BB17/BA17),BB17/BA17, " - ")</f>
        <v>0.28144853875476494</v>
      </c>
      <c r="BF17" s="127">
        <f>IF(ISNUMBER(BC17/BA17),BC17/BA17, " - ")</f>
        <v>0.10673443456162643</v>
      </c>
      <c r="BG17" s="195">
        <f>IF(ISNUMBER((AY17+AZ17)/BA17),(AY17+AZ17)/BA17," - ")</f>
        <v>1.2719186785260483</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6082</v>
      </c>
      <c r="J18" s="183">
        <f t="shared" si="15"/>
        <v>12291</v>
      </c>
      <c r="K18" s="183">
        <f t="shared" si="15"/>
        <v>11900</v>
      </c>
      <c r="L18" s="183">
        <f t="shared" si="15"/>
        <v>6715</v>
      </c>
      <c r="M18" s="183">
        <f t="shared" si="15"/>
        <v>923</v>
      </c>
      <c r="N18" s="183">
        <f t="shared" si="15"/>
        <v>7924</v>
      </c>
      <c r="O18" s="183">
        <f t="shared" si="15"/>
        <v>334</v>
      </c>
      <c r="P18" s="183">
        <f t="shared" si="15"/>
        <v>419</v>
      </c>
      <c r="Q18" s="183">
        <f t="shared" si="15"/>
        <v>464</v>
      </c>
      <c r="R18" s="183">
        <f t="shared" si="15"/>
        <v>1191</v>
      </c>
      <c r="S18" s="183">
        <f t="shared" si="15"/>
        <v>6573</v>
      </c>
      <c r="T18" s="183">
        <f t="shared" si="15"/>
        <v>12371</v>
      </c>
      <c r="U18" s="183">
        <f t="shared" si="15"/>
        <v>12049</v>
      </c>
      <c r="V18" s="183">
        <f t="shared" si="15"/>
        <v>6880</v>
      </c>
      <c r="W18" s="183">
        <f t="shared" si="15"/>
        <v>975</v>
      </c>
      <c r="X18" s="183">
        <f t="shared" si="15"/>
        <v>8314</v>
      </c>
      <c r="Y18" s="183">
        <f t="shared" si="15"/>
        <v>0</v>
      </c>
      <c r="Z18" s="183">
        <f t="shared" si="15"/>
        <v>0</v>
      </c>
      <c r="AA18" s="183">
        <f t="shared" si="15"/>
        <v>0</v>
      </c>
      <c r="AB18" s="183">
        <f t="shared" si="15"/>
        <v>0</v>
      </c>
      <c r="AC18" s="183">
        <f t="shared" si="15"/>
        <v>6</v>
      </c>
      <c r="AD18" s="183">
        <f t="shared" si="15"/>
        <v>401</v>
      </c>
      <c r="AE18" s="183">
        <f t="shared" si="15"/>
        <v>399</v>
      </c>
      <c r="AF18" s="183">
        <f t="shared" si="15"/>
        <v>8</v>
      </c>
      <c r="AG18" s="183">
        <f t="shared" si="15"/>
        <v>0</v>
      </c>
      <c r="AH18" s="183">
        <f t="shared" si="15"/>
        <v>0</v>
      </c>
      <c r="AI18" s="183">
        <f t="shared" si="15"/>
        <v>0</v>
      </c>
      <c r="AJ18" s="183">
        <f t="shared" si="15"/>
        <v>0</v>
      </c>
      <c r="AK18" s="183">
        <f t="shared" si="15"/>
        <v>5</v>
      </c>
      <c r="AL18" s="183">
        <f t="shared" si="15"/>
        <v>521</v>
      </c>
      <c r="AM18" s="183">
        <f t="shared" si="15"/>
        <v>511</v>
      </c>
      <c r="AN18" s="183">
        <f t="shared" si="15"/>
        <v>15</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6573</v>
      </c>
      <c r="AZ18" s="183">
        <f>SUBTOTAL(9,AZ14:AZ17)</f>
        <v>12371</v>
      </c>
      <c r="BA18" s="183">
        <f>SUBTOTAL(9,BA14:BA17)</f>
        <v>12049</v>
      </c>
      <c r="BB18" s="183">
        <f>SUBTOTAL(9,BB14:BB17)</f>
        <v>6880</v>
      </c>
      <c r="BC18" s="183">
        <f>SUBTOTAL(9,BC14:BC17)</f>
        <v>975</v>
      </c>
      <c r="BD18" s="204">
        <f>IF(ISNUMBER(BA18/AZ18),BA18/AZ18," - ")</f>
        <v>0.97397138469000077</v>
      </c>
      <c r="BE18" s="205">
        <f>IF(ISNUMBER(BB18/BA18),BB18/BA18, " - ")</f>
        <v>0.5710017428832268</v>
      </c>
      <c r="BF18" s="205">
        <f>IF(ISNUMBER(BC18/BA18),BC18/BA18, " - ")</f>
        <v>8.0919578388247981E-2</v>
      </c>
      <c r="BG18" s="206">
        <f>IF(ISNUMBER((AY18+AZ18)/BA18),(AY18+AZ18)/BA18," - ")</f>
        <v>1.5722466594738151</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30565</v>
      </c>
      <c r="J19" s="134">
        <f t="shared" si="18"/>
        <v>19072</v>
      </c>
      <c r="K19" s="134">
        <f t="shared" si="18"/>
        <v>21423</v>
      </c>
      <c r="L19" s="134">
        <f t="shared" si="18"/>
        <v>28746</v>
      </c>
      <c r="M19" s="134">
        <f t="shared" si="18"/>
        <v>4017</v>
      </c>
      <c r="N19" s="134">
        <f t="shared" si="18"/>
        <v>11306</v>
      </c>
      <c r="O19" s="134">
        <f t="shared" si="18"/>
        <v>4788</v>
      </c>
      <c r="P19" s="134">
        <f t="shared" si="18"/>
        <v>3281</v>
      </c>
      <c r="Q19" s="134">
        <f t="shared" si="18"/>
        <v>5676</v>
      </c>
      <c r="R19" s="134">
        <f t="shared" si="18"/>
        <v>41162</v>
      </c>
      <c r="S19" s="134">
        <f t="shared" si="18"/>
        <v>33721</v>
      </c>
      <c r="T19" s="134">
        <f t="shared" si="18"/>
        <v>22115</v>
      </c>
      <c r="U19" s="134">
        <f t="shared" si="18"/>
        <v>21615</v>
      </c>
      <c r="V19" s="134">
        <f t="shared" si="18"/>
        <v>34206</v>
      </c>
      <c r="W19" s="134">
        <f t="shared" si="18"/>
        <v>4743</v>
      </c>
      <c r="X19" s="134">
        <f t="shared" si="18"/>
        <v>11814</v>
      </c>
      <c r="Y19" s="134">
        <f t="shared" si="18"/>
        <v>575</v>
      </c>
      <c r="Z19" s="134">
        <f t="shared" si="18"/>
        <v>686</v>
      </c>
      <c r="AA19" s="134">
        <f t="shared" si="18"/>
        <v>602</v>
      </c>
      <c r="AB19" s="134">
        <f t="shared" si="18"/>
        <v>661</v>
      </c>
      <c r="AC19" s="134">
        <f t="shared" si="18"/>
        <v>6</v>
      </c>
      <c r="AD19" s="134">
        <f t="shared" si="18"/>
        <v>401</v>
      </c>
      <c r="AE19" s="134">
        <f t="shared" si="18"/>
        <v>399</v>
      </c>
      <c r="AF19" s="134">
        <f t="shared" si="18"/>
        <v>8</v>
      </c>
      <c r="AG19" s="134">
        <f t="shared" si="18"/>
        <v>458</v>
      </c>
      <c r="AH19" s="134">
        <f t="shared" si="18"/>
        <v>492</v>
      </c>
      <c r="AI19" s="134">
        <f t="shared" si="18"/>
        <v>518</v>
      </c>
      <c r="AJ19" s="134">
        <f t="shared" si="18"/>
        <v>432</v>
      </c>
      <c r="AK19" s="134">
        <f t="shared" si="18"/>
        <v>5</v>
      </c>
      <c r="AL19" s="134">
        <f t="shared" si="18"/>
        <v>521</v>
      </c>
      <c r="AM19" s="134">
        <f t="shared" si="18"/>
        <v>511</v>
      </c>
      <c r="AN19" s="209">
        <f t="shared" si="18"/>
        <v>15</v>
      </c>
      <c r="AO19" s="210">
        <v>38</v>
      </c>
      <c r="AP19" s="210">
        <v>38</v>
      </c>
      <c r="AQ19" s="210">
        <v>38</v>
      </c>
      <c r="AR19" s="210">
        <v>38</v>
      </c>
      <c r="AS19" s="152">
        <f t="shared" si="18"/>
        <v>0</v>
      </c>
      <c r="AT19" s="152">
        <f t="shared" si="18"/>
        <v>0</v>
      </c>
      <c r="AU19" s="210"/>
      <c r="AV19" s="211"/>
      <c r="AW19" s="210"/>
      <c r="AX19" s="211"/>
      <c r="AY19" s="133">
        <f>SUBTOTAL(9,AY9:AY18)</f>
        <v>34179</v>
      </c>
      <c r="AZ19" s="134">
        <f>SUBTOTAL(9,AZ9:AZ18)</f>
        <v>22607</v>
      </c>
      <c r="BA19" s="134">
        <f>SUBTOTAL(9,BA9:BA18)</f>
        <v>22133</v>
      </c>
      <c r="BB19" s="134">
        <f>SUBTOTAL(9,BB9:BB18)</f>
        <v>34638</v>
      </c>
      <c r="BC19" s="135">
        <f>SUBTOTAL(9,BC9:BC18)</f>
        <v>4443</v>
      </c>
      <c r="BD19" s="212">
        <f>IF(ISNUMBER(BA19/AZ19),BA19/AZ19," - ")</f>
        <v>0.97903304286283011</v>
      </c>
      <c r="BE19" s="209">
        <f>IF(ISNUMBER(BB19/BA19),BB19/BA19, " - ")</f>
        <v>1.5649934486965165</v>
      </c>
      <c r="BF19" s="209">
        <f>IF(ISNUMBER(BC19/BA19),BC19/BA19, " - ")</f>
        <v>0.20074097501468396</v>
      </c>
      <c r="BG19" s="135">
        <f>IF(ISNUMBER((AY19+AZ19)/BA19),(AY19+AZ19)/BA19," - ")</f>
        <v>2.5656711697465324</v>
      </c>
      <c r="BH19" s="210">
        <f>SUBTOTAL(9,BH9:BH18)</f>
        <v>41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a2xmsw54eme3tmN1WSZ/fYpX4LdPS7u6xEpuMqUiV2RVZJJu2PDoKloPGL5H8JQKW3t7uFTlp7gj2ECvd0xQg==" saltValue="eT6c1DzBovSEE2N/Y++4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DdnSBhyh4QXdpntss4XVRPVCTJYFv/fiaXWLmZHc+msa26JEinpnrxQz4ClXJoXGtcnd6db6ZUH40Wp8yi6aw==" saltValue="17ANILo7MeHEPC6W3zxs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19</v>
      </c>
      <c r="B9" s="500" t="s">
        <v>246</v>
      </c>
      <c r="C9" s="159" t="str">
        <f>Datos!A9</f>
        <v xml:space="preserve">Jdos. 1ª Instancia   </v>
      </c>
      <c r="D9" s="501"/>
      <c r="E9" s="259">
        <f>IF(ISNUMBER(Datos!AQ9),Datos!AQ9," - ")</f>
        <v>19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521</v>
      </c>
      <c r="O9" s="333"/>
      <c r="P9" s="333"/>
      <c r="Q9" s="225">
        <f>IF(ISNUMBER(Datos!P9),Datos!P9,0)</f>
        <v>2702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4861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550</v>
      </c>
      <c r="AI9" s="333" t="str">
        <f>IF(ISNUMBER(Datos!CD9),Datos!CD9,"-")</f>
        <v>-</v>
      </c>
      <c r="AJ9" s="333" t="str">
        <f>IF(ISNUMBER(Datos!EN9),Datos!EN9," - ")</f>
        <v xml:space="preserve"> - </v>
      </c>
      <c r="AK9" s="333"/>
      <c r="AL9" s="478"/>
      <c r="AM9" s="334">
        <f>IF(ISNUMBER(Datos!R9),Datos!R9," - ")</f>
        <v>38379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2697</v>
      </c>
      <c r="BD9" s="228">
        <f>IF(ISNUMBER(Datos!N9),Datos!N9," - ")</f>
        <v>3014</v>
      </c>
      <c r="BE9" s="228" t="str">
        <f>IF(ISNUMBER(Datos!BW9),Datos!BW9," - ")</f>
        <v xml:space="preserve"> - </v>
      </c>
      <c r="BF9" s="227" t="str">
        <f>IF(ISNUMBER(Datos!BX9),Datos!BX9," - ")</f>
        <v xml:space="preserve"> - </v>
      </c>
      <c r="BG9" s="242">
        <f>IF(ISNUMBER(IF(J_V="SI",Datos!K9/Datos!J9,(Datos!K9+Datos!AA9)/(Datos!J9+Datos!Z9))),IF(J_V="SI",Datos!K9/Datos!J9,(Datos!K9+Datos!AA9)/(Datos!J9+Datos!Z9))," - ")</f>
        <v>1.3932653691689836</v>
      </c>
      <c r="BH9" s="259">
        <f>IF(ISNUMBER(((IF(J_V="SI",Datos!L9/Datos!K9,(Datos!L9+Datos!AB9)/(Datos!K9+Datos!AA9)))*11)/factor_trimestre),((IF(J_V="SI",Datos!L9/Datos!K9,(Datos!L9+Datos!AB9)/(Datos!K9+Datos!AA9)))*11)/factor_trimestre," - ")</f>
        <v>4.7439024390243905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-5.3258670876708276E-2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186</v>
      </c>
      <c r="G10" s="332">
        <f>IF(ISNUMBER(Datos!I10),Datos!I10," - ")</f>
        <v>186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103</v>
      </c>
      <c r="AC10" s="225">
        <f>IF(ISNUMBER(Datos!Q10),Datos!Q10," - ")</f>
        <v>95</v>
      </c>
      <c r="AD10" s="333"/>
      <c r="AE10" s="483"/>
      <c r="AF10" s="331">
        <f>IF(ISNUMBER(Datos!L10),Datos!L10,"-")</f>
        <v>183</v>
      </c>
      <c r="AG10" s="333"/>
      <c r="AH10" s="333"/>
      <c r="AI10" s="333"/>
      <c r="AJ10" s="333"/>
      <c r="AK10" s="333"/>
      <c r="AL10" s="478"/>
      <c r="AM10" s="334">
        <f>IF(ISNUMBER(Datos!R10),Datos!R10," - ")</f>
        <v>281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44</v>
      </c>
      <c r="BD10" s="228">
        <f>IF(ISNUMBER(Datos!N10),Datos!N10," - ")</f>
        <v>46</v>
      </c>
      <c r="BE10" s="228" t="str">
        <f>IF(ISNUMBER(Datos!BW10),Datos!BW10," - ")</f>
        <v xml:space="preserve"> - </v>
      </c>
      <c r="BF10" s="227" t="str">
        <f>IF(ISNUMBER(Datos!BX10),Datos!BX10," - ")</f>
        <v xml:space="preserve"> - </v>
      </c>
      <c r="BG10" s="242">
        <f>IF(ISNUMBER(Datos!K10/Datos!J10),Datos!K10/Datos!J10," - ")</f>
        <v>1.03</v>
      </c>
      <c r="BH10" s="259">
        <f>IF(ISNUMBER(((Datos!L10/Datos!K10)*11)/factor_trimestre),((Datos!L10/Datos!K10)*11)/factor_trimestre," - ")</f>
        <v>3.5533980582524269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-0.21508379888268156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165</v>
      </c>
      <c r="O11" s="333"/>
      <c r="P11" s="333"/>
      <c r="Q11" s="225">
        <f>IF(ISNUMBER(Datos!P11),Datos!P11,0)</f>
        <v>142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256</v>
      </c>
      <c r="AD11" s="333"/>
      <c r="AE11" s="483"/>
      <c r="AF11" s="331" t="str">
        <f>IF(ISNUMBER(IF(J_V="SI",Datos!L11,Datos!L11+Datos!AB11)-IF(Monitorios="SI",Datos!CD11,0)),
                          IF(J_V="SI",Datos!L11,Datos!L11+Datos!AB11)-IF(Monitorios="SI",Datos!CD11,0),
                          " - ")</f>
        <v xml:space="preserve"> - </v>
      </c>
      <c r="AG11" s="333"/>
      <c r="AH11" s="333">
        <f>IF(ISNUMBER(Datos!AB11),Datos!AB11,"-")</f>
        <v>111</v>
      </c>
      <c r="AI11" s="333"/>
      <c r="AJ11" s="333"/>
      <c r="AK11" s="333"/>
      <c r="AL11" s="478"/>
      <c r="AM11" s="334">
        <f>IF(ISNUMBER(Datos!R11),Datos!R11," - ")</f>
        <v>1311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353</v>
      </c>
      <c r="BD11" s="228">
        <f>IF(ISNUMBER(Datos!N11),Datos!N11," - ")</f>
        <v>322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1.1220604703247481</v>
      </c>
      <c r="BH11" s="259">
        <f>IF(ISNUMBER(((IF(J_V="SI",Datos!L11/Datos!K11,(Datos!L11+Datos!AB11)/(Datos!K11+Datos!AA11)))*11)/factor_trimestre),((IF(J_V="SI",Datos!L11/Datos!K11,(Datos!L11+Datos!AB11)/(Datos!K11+Datos!AA11)))*11)/factor_trimestre," - ")</f>
        <v>2.223552894211577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-0.08</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26</v>
      </c>
      <c r="F13" s="897">
        <f t="shared" si="0"/>
        <v>186</v>
      </c>
      <c r="G13" s="897">
        <f t="shared" si="0"/>
        <v>186</v>
      </c>
      <c r="H13" s="898">
        <f t="shared" si="0"/>
        <v>0</v>
      </c>
      <c r="I13" s="897">
        <f t="shared" si="0"/>
        <v>0</v>
      </c>
      <c r="J13" s="866">
        <f t="shared" si="0"/>
        <v>0</v>
      </c>
      <c r="K13" s="866">
        <f t="shared" si="0"/>
        <v>0</v>
      </c>
      <c r="L13" s="898">
        <f t="shared" si="0"/>
        <v>0</v>
      </c>
      <c r="M13" s="898">
        <f t="shared" si="0"/>
        <v>0</v>
      </c>
      <c r="N13" s="898">
        <f t="shared" si="0"/>
        <v>686</v>
      </c>
      <c r="O13" s="899">
        <f t="shared" si="0"/>
        <v>0</v>
      </c>
      <c r="P13" s="899">
        <f t="shared" si="0"/>
        <v>0</v>
      </c>
      <c r="Q13" s="898">
        <f t="shared" si="0"/>
        <v>2862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103</v>
      </c>
      <c r="AC13" s="898">
        <f t="shared" si="1"/>
        <v>5212</v>
      </c>
      <c r="AD13" s="898">
        <f t="shared" si="1"/>
        <v>0</v>
      </c>
      <c r="AE13" s="898">
        <f t="shared" si="1"/>
        <v>0</v>
      </c>
      <c r="AF13" s="898">
        <f t="shared" si="1"/>
        <v>183</v>
      </c>
      <c r="AG13" s="898">
        <f t="shared" si="1"/>
        <v>0</v>
      </c>
      <c r="AH13" s="898">
        <f t="shared" si="1"/>
        <v>661</v>
      </c>
      <c r="AI13" s="898">
        <f t="shared" si="1"/>
        <v>0</v>
      </c>
      <c r="AJ13" s="898">
        <f t="shared" si="1"/>
        <v>0</v>
      </c>
      <c r="AK13" s="898">
        <f t="shared" si="1"/>
        <v>0</v>
      </c>
      <c r="AL13" s="898">
        <f t="shared" si="1"/>
        <v>0</v>
      </c>
      <c r="AM13" s="898">
        <f t="shared" si="1"/>
        <v>39971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3094</v>
      </c>
      <c r="BD13" s="898">
        <f t="shared" si="1"/>
        <v>3382</v>
      </c>
      <c r="BE13" s="898">
        <f t="shared" si="1"/>
        <v>0</v>
      </c>
      <c r="BF13" s="898">
        <f t="shared" si="1"/>
        <v>0</v>
      </c>
      <c r="BG13" s="898">
        <f>IF(ISNUMBER(Datos!K13/Datos!J13),Datos!K13/Datos!J13," - ")</f>
        <v>1.4043651378852677</v>
      </c>
      <c r="BH13" s="902">
        <f>IF(ISNUMBER(((Datos!L13/Datos!K13)*11)/factor_trimestre),((Datos!L13/Datos!K13)*11)/factor_trimestre," - ")</f>
        <v>4.6269032867793767</v>
      </c>
      <c r="BI13" s="898">
        <f>IF(ISNUMBER('Resol  Asuntos'!D13/NºAsuntos!G13),'Resol  Asuntos'!D13/NºAsuntos!G13," - ")</f>
        <v>0.30558024691358027</v>
      </c>
      <c r="BJ13" s="898" t="str">
        <f>IF(ISNUMBER(Datos!CI13/Datos!CJ13),Datos!CI13/Datos!CJ13," - ")</f>
        <v xml:space="preserve"> - </v>
      </c>
      <c r="BK13" s="898">
        <f>SUBTOTAL(9,BK8:BK12)</f>
        <v>0</v>
      </c>
      <c r="BL13" s="898">
        <f>IF(ISNUMBER((I13-AB13+L13)/(F13)),(I13-AB13+L13)/(F13)," - ")</f>
        <v>-0.55376344086021501</v>
      </c>
      <c r="BM13" s="903">
        <f>SUBTOTAL(9,BM9:BM12)</f>
        <v>-0.34834246975938987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5986</v>
      </c>
      <c r="G15" s="597">
        <f>IF(ISNUMBER(IF(D_I="SI",Datos!I15,Datos!I15+Datos!AC15)),IF(D_I="SI",Datos!I15,Datos!I15+Datos!AC15)," - ")</f>
        <v>5764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381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10594</v>
      </c>
      <c r="AC15" s="225">
        <f>IF(ISNUMBER(Datos!Q15),Datos!Q15," - ")</f>
        <v>448</v>
      </c>
      <c r="AD15" s="333"/>
      <c r="AE15" s="483"/>
      <c r="AF15" s="595">
        <f>IF(ISNUMBER(IF(D_I="SI",Datos!L15,Datos!L15+Datos!AF15)),IF(D_I="SI",Datos!L15,Datos!L15+Datos!AF15)," - ")</f>
        <v>6401</v>
      </c>
      <c r="AG15" s="333"/>
      <c r="AH15" s="333"/>
      <c r="AI15" s="333"/>
      <c r="AJ15" s="333"/>
      <c r="AK15" s="333"/>
      <c r="AL15" s="478"/>
      <c r="AM15" s="334">
        <f>IF(ISNUMBER(Datos!R15),Datos!R15," - ")</f>
        <v>1130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766</v>
      </c>
      <c r="BD15" s="228">
        <f>IF(ISNUMBER(Datos!N15),Datos!N15," - ")</f>
        <v>7266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0.96230356980652199</v>
      </c>
      <c r="BH15" s="259">
        <f>IF(ISNUMBER(((IF(D_I="SI",Datos!L15/Datos!K15,(Datos!L15+Datos!AF15)/(Datos!K15+Datos!AE15)))*11)/factor_trimestre),((IF(D_I="SI",Datos!L15/Datos!K15,(Datos!L15+Datos!AF15)/(Datos!K15+Datos!AE15)))*11)/factor_trimestre," - ")</f>
        <v>1.2084198602982821</v>
      </c>
      <c r="BI15" s="242">
        <f>IF(ISNUMBER('Resol  Asuntos'!D15/NºAsuntos!G15),'Resol  Asuntos'!D15/NºAsuntos!G15," - ")</f>
        <v>7.2305078346233717E-2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318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1306</v>
      </c>
      <c r="AC17" s="225">
        <f>IF(ISNUMBER(Datos!Q17),Datos!Q17," - ")</f>
        <v>16</v>
      </c>
      <c r="AD17" s="333"/>
      <c r="AE17" s="483"/>
      <c r="AF17" s="331">
        <f>IF(ISNUMBER(Datos!L17),Datos!L17,"-")</f>
        <v>314</v>
      </c>
      <c r="AG17" s="333"/>
      <c r="AH17" s="333"/>
      <c r="AI17" s="333"/>
      <c r="AJ17" s="333"/>
      <c r="AK17" s="333"/>
      <c r="AL17" s="478"/>
      <c r="AM17" s="334">
        <f>IF(ISNUMBER(Datos!R17),Datos!R17," - ")</f>
        <v>61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157</v>
      </c>
      <c r="BD17" s="228">
        <f>IF(ISNUMBER(Datos!N17),Datos!N17," - ")</f>
        <v>658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1.0187207488299532</v>
      </c>
      <c r="BH17" s="259">
        <f>IF(ISNUMBER(((IF(D_I="SI",Datos!L17/Datos!K17,(Datos!L17+Datos!AF17)/(Datos!K17+Datos!AE17)))*11)/factor_trimestre),((IF(D_I="SI",Datos!L17/Datos!K17,(Datos!L17+Datos!AF17)/(Datos!K17+Datos!AE17)))*11)/factor_trimestre," - ")</f>
        <v>0.48085758039816234</v>
      </c>
      <c r="BI17" s="242">
        <f>IF(ISNUMBER('Resol  Asuntos'!D17/NºAsuntos!G17),'Resol  Asuntos'!D17/NºAsuntos!G17," - ")</f>
        <v>0.12021439509954059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15</v>
      </c>
      <c r="F18" s="897">
        <f>SUBTOTAL(9,F15:F17)</f>
        <v>5986</v>
      </c>
      <c r="G18" s="897">
        <f>SUBTOTAL(9,G15:G17)</f>
        <v>6082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11900</v>
      </c>
      <c r="AC18" s="898">
        <f t="shared" si="4"/>
        <v>464</v>
      </c>
      <c r="AD18" s="898">
        <f t="shared" si="4"/>
        <v>0</v>
      </c>
      <c r="AE18" s="898">
        <f t="shared" si="4"/>
        <v>0</v>
      </c>
      <c r="AF18" s="898">
        <f t="shared" si="4"/>
        <v>6715</v>
      </c>
      <c r="AG18" s="898">
        <f t="shared" si="4"/>
        <v>0</v>
      </c>
      <c r="AH18" s="898">
        <f t="shared" si="4"/>
        <v>0</v>
      </c>
      <c r="AI18" s="898">
        <f t="shared" si="4"/>
        <v>0</v>
      </c>
      <c r="AJ18" s="898">
        <f t="shared" si="4"/>
        <v>0</v>
      </c>
      <c r="AK18" s="898">
        <f t="shared" si="4"/>
        <v>0</v>
      </c>
      <c r="AL18" s="898">
        <f t="shared" si="4"/>
        <v>0</v>
      </c>
      <c r="AM18" s="898">
        <f t="shared" si="4"/>
        <v>1191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923</v>
      </c>
      <c r="BD18" s="898">
        <f t="shared" si="4"/>
        <v>7924</v>
      </c>
      <c r="BE18" s="898">
        <f t="shared" si="4"/>
        <v>0</v>
      </c>
      <c r="BF18" s="898">
        <f t="shared" si="4"/>
        <v>0</v>
      </c>
      <c r="BG18" s="898">
        <f>IF(ISNUMBER(Datos!K18/Datos!J18),Datos!K18/Datos!J18," - ")</f>
        <v>0.9681881051175657</v>
      </c>
      <c r="BH18" s="902">
        <f>IF(ISNUMBER(((Datos!L18/Datos!K18)*11)/factor_trimestre),((Datos!L18/Datos!K18)*11)/factor_trimestre," - ")</f>
        <v>1.1285714285714286</v>
      </c>
      <c r="BI18" s="898">
        <f>SUBTOTAL(9,BI15:BI17)</f>
        <v>0.1925194734457743</v>
      </c>
      <c r="BJ18" s="898">
        <f>SUBTOTAL(9,BJ15:BJ17)</f>
        <v>0</v>
      </c>
      <c r="BK18" s="898">
        <f>SUBTOTAL(9,BK15:BK17)</f>
        <v>0</v>
      </c>
      <c r="BL18" s="898">
        <f>IF(ISNUMBER((I18-AB18+L18)/(F18)),(I18-AB18+L18)/(F18)," - ")</f>
        <v>-1.9879719345138658</v>
      </c>
      <c r="BM18" s="904">
        <f>IF(ISNUMBER((Datos!P18-Datos!Q18)/(Datos!R18-Datos!P18+Datos!Q18)),(Datos!P18-Datos!Q18)/(Datos!R18-Datos!P18+Datos!Q18)," - ")</f>
        <v>-3.640776699029126E-2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41</v>
      </c>
      <c r="F19" s="819">
        <f t="shared" si="6"/>
        <v>6172</v>
      </c>
      <c r="G19" s="819">
        <f t="shared" si="6"/>
        <v>6268</v>
      </c>
      <c r="H19" s="821">
        <f t="shared" si="6"/>
        <v>0</v>
      </c>
      <c r="I19" s="819">
        <f t="shared" si="6"/>
        <v>0</v>
      </c>
      <c r="J19" s="821">
        <f t="shared" si="6"/>
        <v>0</v>
      </c>
      <c r="K19" s="821">
        <f t="shared" si="6"/>
        <v>0</v>
      </c>
      <c r="L19" s="880">
        <f t="shared" si="6"/>
        <v>0</v>
      </c>
      <c r="M19" s="880">
        <f t="shared" si="6"/>
        <v>0</v>
      </c>
      <c r="N19" s="880">
        <f t="shared" si="6"/>
        <v>686</v>
      </c>
      <c r="O19" s="880">
        <f t="shared" si="6"/>
        <v>0</v>
      </c>
      <c r="P19" s="880">
        <f t="shared" si="6"/>
        <v>0</v>
      </c>
      <c r="Q19" s="821">
        <f t="shared" si="6"/>
        <v>3281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12003</v>
      </c>
      <c r="AC19" s="820">
        <f t="shared" si="7"/>
        <v>5676</v>
      </c>
      <c r="AD19" s="820">
        <f t="shared" si="7"/>
        <v>0</v>
      </c>
      <c r="AE19" s="820">
        <f t="shared" si="7"/>
        <v>0</v>
      </c>
      <c r="AF19" s="827">
        <f t="shared" si="7"/>
        <v>6898</v>
      </c>
      <c r="AG19" s="827">
        <f t="shared" si="7"/>
        <v>0</v>
      </c>
      <c r="AH19" s="827">
        <f t="shared" si="7"/>
        <v>661</v>
      </c>
      <c r="AI19" s="827">
        <f t="shared" si="7"/>
        <v>0</v>
      </c>
      <c r="AJ19" s="820">
        <f t="shared" si="7"/>
        <v>0</v>
      </c>
      <c r="AK19" s="827">
        <f t="shared" si="7"/>
        <v>0</v>
      </c>
      <c r="AL19" s="827">
        <f t="shared" si="7"/>
        <v>0</v>
      </c>
      <c r="AM19" s="827">
        <f t="shared" si="7"/>
        <v>41162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4017</v>
      </c>
      <c r="BD19" s="819">
        <f t="shared" si="7"/>
        <v>11306</v>
      </c>
      <c r="BE19" s="819">
        <f t="shared" si="7"/>
        <v>0</v>
      </c>
      <c r="BF19" s="829">
        <f t="shared" si="7"/>
        <v>0</v>
      </c>
      <c r="BG19" s="914">
        <f>IF(ISNUMBER(Datos!K19/Datos!J19),Datos!K19/Datos!J19," - ")</f>
        <v>1.1232697147651007</v>
      </c>
      <c r="BH19" s="914">
        <f>IF(ISNUMBER(((Datos!L19/Datos!K19)*11)/factor_trimestre),((Datos!L19/Datos!K19)*11)/factor_trimestre," - ")</f>
        <v>2.6836577510152639</v>
      </c>
      <c r="BI19" s="812">
        <f>IF(ISNUMBER(Datos!J19/Datos!I19),Datos!J19/Datos!I19," - ")</f>
        <v>0.62398167839031571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-1.9447504860661049</v>
      </c>
      <c r="BM19" s="888">
        <f>IF(ISNUMBER((Datos!P19-Datos!Q19+R19)/(Datos!R19-Datos!P19+Datos!Q19-R19)),(Datos!P19-Datos!Q19+R19)/(Datos!R19-Datos!P19+Datos!Q19-R19)," - ")</f>
        <v>-5.4985421401841268E-2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2507.1999999999998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9.3065090722091455</v>
      </c>
      <c r="F21" s="550">
        <f>IF(ISNUMBER(STDEV(F8:F18)),STDEV(F8:F18),"-")</f>
        <v>3348.6315612998296</v>
      </c>
      <c r="G21" s="551">
        <f>IF(ISNUMBER(STDEV(G8:G18)),STDEV(G8:G18),"-")</f>
        <v>3120.6760805953572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5922.6700650973289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1239.3403775511276</v>
      </c>
      <c r="BD21" s="550"/>
      <c r="BE21" s="550">
        <f>IF(ISNUMBER(STDEV(BE8:BE18)),STDEV(BE8:BE18),"-")</f>
        <v>0</v>
      </c>
      <c r="BF21" s="555">
        <f>IF(ISNUMBER(STDEV(BF8:BF18)),STDEV(BF8:BF18),"-")</f>
        <v>0</v>
      </c>
      <c r="BG21" s="774">
        <f>IF(ISNUMBER(STDEV(BG8:BG18)),STDEV(BG8:BG18),"-")</f>
        <v>0.19205840376658834</v>
      </c>
      <c r="BH21" s="775">
        <f>IF(ISNUMBER(STDEV(BH8:BH18)),STDEV(BH8:BH18),"-")</f>
        <v>1.7483252998048191</v>
      </c>
      <c r="BI21" s="248">
        <f>IF(ISNUMBER(STDEV(BI8:BI18)),STDEV(BI8:BI18),"-")</f>
        <v>0.10146237790497317</v>
      </c>
      <c r="BJ21" s="229" t="str">
        <f>IF(ISNUMBER(BL21/BM21),BL21/BM21," - ")</f>
        <v xml:space="preserve"> - </v>
      </c>
      <c r="BK21" s="574"/>
      <c r="BL21" s="558">
        <f>IF(ISNUMBER(STDEV(BL8:BL18)),STDEV(BL8:BL18),"-")</f>
        <v>1.01413855149784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JLXQHajlI+vcnevb+zqN2MbXkBve9vV3swDX8SNSblYCGEBaJDtn8NKuOw7+o8vBTq3iP8gDsKAWlp3tl+NAw==" saltValue="dd7+JygVxbWnbrPKoMJU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ZARAGOZA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2702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4861</v>
      </c>
      <c r="AA9" s="331" t="str">
        <f>IF(ISNUMBER(IF(J_V="SI",Datos!L9,Datos!L9+Datos!AB9)-IF(Monitorios="SI",Datos!CD9,0)),
                          IF(J_V="SI",Datos!L9,Datos!L9+Datos!AB9)-IF(Monitorios="SI",Datos!CD9,0),
                          " - ")</f>
        <v xml:space="preserve"> - </v>
      </c>
      <c r="AB9" s="333"/>
      <c r="AC9" s="333"/>
      <c r="AD9" s="483"/>
      <c r="AE9" s="483">
        <f>IF(ISNUMBER(Datos!R9),Datos!R9," - ")</f>
        <v>38379</v>
      </c>
      <c r="AF9" s="228" t="str">
        <f>IF(ISNUMBER(Datos!BV9),Datos!BV9," - ")</f>
        <v xml:space="preserve"> - </v>
      </c>
      <c r="AG9" s="224" t="str">
        <f>IF(ISNUMBER(Datos!DV9),Datos!DV9," - ")</f>
        <v xml:space="preserve"> - </v>
      </c>
      <c r="AH9" s="297"/>
      <c r="AI9" s="226"/>
      <c r="AJ9" s="224">
        <f>IF(ISNUMBER(Datos!M9),Datos!M9," - ")</f>
        <v>2697</v>
      </c>
      <c r="AK9" s="228">
        <f>IF(ISNUMBER(Datos!N9),Datos!N9," - ")</f>
        <v>3014</v>
      </c>
      <c r="AL9" s="228" t="str">
        <f>IF(ISNUMBER(Datos!BW9),Datos!BW9," - ")</f>
        <v xml:space="preserve"> - </v>
      </c>
      <c r="AM9" s="227" t="str">
        <f>IF(ISNUMBER(Datos!BX9),Datos!BX9," - ")</f>
        <v xml:space="preserve"> - </v>
      </c>
      <c r="AN9" s="242"/>
      <c r="AO9" s="259">
        <f>IF(ISNUMBER(((NºAsuntos!I9/NºAsuntos!G9)*11)/factor_trimestre),((NºAsuntos!I9/NºAsuntos!G9)*11)/factor_trimestre," - ")</f>
        <v>4.7439024390243905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-5.3258670876708276E-2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186</v>
      </c>
      <c r="G10" s="224">
        <f>IF(ISNUMBER(Datos!I10),Datos!I10," - ")</f>
        <v>186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103</v>
      </c>
      <c r="Z10" s="618">
        <f>IF(ISNUMBER(Datos!Q10),Datos!Q10," - ")</f>
        <v>95</v>
      </c>
      <c r="AA10" s="331">
        <f>IF(ISNUMBER(Datos!L10),Datos!L10,"-")</f>
        <v>183</v>
      </c>
      <c r="AB10" s="333"/>
      <c r="AC10" s="333"/>
      <c r="AD10" s="483"/>
      <c r="AE10" s="483">
        <f>IF(ISNUMBER(Datos!R10),Datos!R10," - ")</f>
        <v>281</v>
      </c>
      <c r="AF10" s="228" t="str">
        <f>IF(ISNUMBER(Datos!BV10),Datos!BV10," - ")</f>
        <v xml:space="preserve"> - </v>
      </c>
      <c r="AG10" s="224" t="str">
        <f>IF(ISNUMBER(Datos!DV10),Datos!DV10," - ")</f>
        <v xml:space="preserve"> - </v>
      </c>
      <c r="AH10" s="297"/>
      <c r="AI10" s="226"/>
      <c r="AJ10" s="224">
        <f>IF(ISNUMBER(Datos!M10),Datos!M10," - ")</f>
        <v>44</v>
      </c>
      <c r="AK10" s="228">
        <f>IF(ISNUMBER(Datos!N10),Datos!N10," - ")</f>
        <v>46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3.5533980582524269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-0.21508379888268156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142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256</v>
      </c>
      <c r="AA11" s="331" t="str">
        <f>IF(ISNUMBER(IF(J_V="SI",Datos!L11,Datos!L11+Datos!AB11)-IF(Monitorios="SI",Datos!CD11,0)),
                          IF(J_V="SI",Datos!L11,Datos!L11+Datos!AB11)-IF(Monitorios="SI",Datos!CD11,0),
                          " - ")</f>
        <v xml:space="preserve"> - </v>
      </c>
      <c r="AB11" s="333"/>
      <c r="AC11" s="333"/>
      <c r="AD11" s="483"/>
      <c r="AE11" s="483">
        <f>IF(ISNUMBER(Datos!R11),Datos!R11," - ")</f>
        <v>1311</v>
      </c>
      <c r="AF11" s="228" t="str">
        <f>IF(ISNUMBER(Datos!BV11),Datos!BV11," - ")</f>
        <v xml:space="preserve"> - </v>
      </c>
      <c r="AG11" s="224" t="str">
        <f>IF(ISNUMBER(Datos!DV11),Datos!DV11," - ")</f>
        <v xml:space="preserve"> - </v>
      </c>
      <c r="AH11" s="297"/>
      <c r="AI11" s="226"/>
      <c r="AJ11" s="224">
        <f>IF(ISNUMBER(Datos!M11),Datos!M11," - ")</f>
        <v>353</v>
      </c>
      <c r="AK11" s="228">
        <f>IF(ISNUMBER(Datos!N11),Datos!N11," - ")</f>
        <v>322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2.223552894211577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-0.08</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26</v>
      </c>
      <c r="F13" s="897">
        <f>SUBTOTAL(9,F8:F12)</f>
        <v>186</v>
      </c>
      <c r="G13" s="897">
        <f>SUBTOTAL(9,G8:G12)</f>
        <v>186</v>
      </c>
      <c r="H13" s="907"/>
      <c r="I13" s="897">
        <f t="shared" ref="I13:N13" si="0">SUBTOTAL(9,I8:I12)</f>
        <v>0</v>
      </c>
      <c r="J13" s="866">
        <f t="shared" si="0"/>
        <v>0</v>
      </c>
      <c r="K13" s="907">
        <f t="shared" si="0"/>
        <v>0</v>
      </c>
      <c r="L13" s="907">
        <f t="shared" si="0"/>
        <v>0</v>
      </c>
      <c r="M13" s="907">
        <f t="shared" si="0"/>
        <v>0</v>
      </c>
      <c r="N13" s="907">
        <f t="shared" si="0"/>
        <v>2862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103</v>
      </c>
      <c r="Z13" s="906">
        <f t="shared" si="2"/>
        <v>5212</v>
      </c>
      <c r="AA13" s="899">
        <f t="shared" si="2"/>
        <v>183</v>
      </c>
      <c r="AB13" s="899">
        <f t="shared" si="2"/>
        <v>0</v>
      </c>
      <c r="AC13" s="899">
        <f t="shared" si="2"/>
        <v>0</v>
      </c>
      <c r="AD13" s="899">
        <f t="shared" si="2"/>
        <v>0</v>
      </c>
      <c r="AE13" s="899">
        <f t="shared" si="2"/>
        <v>39971</v>
      </c>
      <c r="AF13" s="907">
        <f t="shared" si="2"/>
        <v>0</v>
      </c>
      <c r="AG13" s="907">
        <f t="shared" si="2"/>
        <v>0</v>
      </c>
      <c r="AH13" s="907">
        <f t="shared" si="2"/>
        <v>0</v>
      </c>
      <c r="AI13" s="907">
        <f t="shared" si="2"/>
        <v>0</v>
      </c>
      <c r="AJ13" s="907">
        <f t="shared" si="2"/>
        <v>3094</v>
      </c>
      <c r="AK13" s="907">
        <f t="shared" si="2"/>
        <v>3382</v>
      </c>
      <c r="AL13" s="907">
        <f t="shared" si="2"/>
        <v>0</v>
      </c>
      <c r="AM13" s="907">
        <f t="shared" si="2"/>
        <v>0</v>
      </c>
      <c r="AN13" s="907">
        <f t="shared" si="2"/>
        <v>0</v>
      </c>
      <c r="AO13" s="903">
        <f>IF(ISNUMBER(((NºAsuntos!I13/NºAsuntos!G13)*11)/factor_trimestre),((NºAsuntos!I13/NºAsuntos!G13)*11)/factor_trimestre," - ")</f>
        <v>4.4823703703703703</v>
      </c>
      <c r="AP13" s="909" t="str">
        <f>IF(ISNUMBER(Datos!CI13/Datos!CJ13),Datos!CI13/Datos!CJ13," - ")</f>
        <v xml:space="preserve"> - </v>
      </c>
      <c r="AQ13" s="927">
        <f t="shared" ref="AQ13:AV13" si="3">SUBTOTAL(9,AQ9:AQ12)</f>
        <v>0</v>
      </c>
      <c r="AR13" s="927">
        <f t="shared" si="3"/>
        <v>-0.34834246975938987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5986</v>
      </c>
      <c r="G15" s="224">
        <f>IF(ISNUMBER(IF(D_I="SI",Datos!I15,Datos!I15+Datos!AC15)),IF(D_I="SI",Datos!I15,Datos!I15+Datos!AC15)," - ")</f>
        <v>5764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381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10594</v>
      </c>
      <c r="Z15" s="618">
        <f>IF(ISNUMBER(Datos!Q15),Datos!Q15," - ")</f>
        <v>448</v>
      </c>
      <c r="AA15" s="331">
        <f>IF(ISNUMBER(IF(D_I="SI",Datos!L15,Datos!L15+Datos!AF15)),IF(D_I="SI",Datos!L15,Datos!L15+Datos!AF15)," - ")</f>
        <v>6401</v>
      </c>
      <c r="AB15" s="333"/>
      <c r="AC15" s="333"/>
      <c r="AD15" s="483"/>
      <c r="AE15" s="483">
        <f>IF(ISNUMBER(Datos!R15),Datos!R15," - ")</f>
        <v>1130</v>
      </c>
      <c r="AF15" s="228" t="str">
        <f>IF(ISNUMBER(Datos!BV15),Datos!BV15," - ")</f>
        <v xml:space="preserve"> - </v>
      </c>
      <c r="AG15" s="224"/>
      <c r="AH15" s="297"/>
      <c r="AI15" s="226"/>
      <c r="AJ15" s="224">
        <f>IF(ISNUMBER(Datos!M15),Datos!M15," - ")</f>
        <v>766</v>
      </c>
      <c r="AK15" s="228">
        <f>IF(ISNUMBER(Datos!N15),Datos!N15," - ")</f>
        <v>7266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1.2084198602982821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318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1306</v>
      </c>
      <c r="Z17" s="618">
        <f>IF(ISNUMBER(Datos!Q17),Datos!Q17," - ")</f>
        <v>16</v>
      </c>
      <c r="AA17" s="331">
        <f>IF(ISNUMBER(Datos!L17),Datos!L17,"-")</f>
        <v>314</v>
      </c>
      <c r="AB17" s="333"/>
      <c r="AC17" s="333"/>
      <c r="AD17" s="483"/>
      <c r="AE17" s="483">
        <f>IF(ISNUMBER(Datos!R17),Datos!R17," - ")</f>
        <v>61</v>
      </c>
      <c r="AF17" s="228" t="str">
        <f>IF(ISNUMBER(Datos!BV17),Datos!BV17," - ")</f>
        <v xml:space="preserve"> - </v>
      </c>
      <c r="AG17" s="224" t="str">
        <f>IF(ISNUMBER(Datos!DV17),Datos!DV17," - ")</f>
        <v xml:space="preserve"> - </v>
      </c>
      <c r="AH17" s="297"/>
      <c r="AI17" s="226"/>
      <c r="AJ17" s="224">
        <f>IF(ISNUMBER(Datos!M17),Datos!M17," - ")</f>
        <v>157</v>
      </c>
      <c r="AK17" s="228">
        <f>IF(ISNUMBER(Datos!N17),Datos!N17," - ")</f>
        <v>658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0.48085758039816234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15</v>
      </c>
      <c r="F18" s="897">
        <f>SUBTOTAL(9,F15:F17)</f>
        <v>5986</v>
      </c>
      <c r="G18" s="897">
        <f>SUBTOTAL(9,G15:G17)</f>
        <v>6082</v>
      </c>
      <c r="H18" s="931">
        <f>SUBTOTAL(9,H15:H17)</f>
        <v>0</v>
      </c>
      <c r="I18" s="910">
        <f>SUBTOTAL(9,I15:I17)</f>
        <v>0</v>
      </c>
      <c r="J18" s="866">
        <f>SUBTOTAL(9,J14:J17)</f>
        <v>0</v>
      </c>
      <c r="K18" s="931">
        <f t="shared" ref="K18:S18" si="4">SUBTOTAL(9,K15:K17)</f>
        <v>0</v>
      </c>
      <c r="L18" s="931">
        <f t="shared" si="4"/>
        <v>0</v>
      </c>
      <c r="M18" s="931">
        <f t="shared" si="4"/>
        <v>0</v>
      </c>
      <c r="N18" s="931">
        <f t="shared" si="4"/>
        <v>419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11900</v>
      </c>
      <c r="Z18" s="931">
        <f t="shared" si="5"/>
        <v>464</v>
      </c>
      <c r="AA18" s="931">
        <f t="shared" si="5"/>
        <v>6715</v>
      </c>
      <c r="AB18" s="931">
        <f t="shared" si="5"/>
        <v>0</v>
      </c>
      <c r="AC18" s="931">
        <f t="shared" si="5"/>
        <v>0</v>
      </c>
      <c r="AD18" s="931">
        <f t="shared" si="5"/>
        <v>0</v>
      </c>
      <c r="AE18" s="931">
        <f t="shared" si="5"/>
        <v>1191</v>
      </c>
      <c r="AF18" s="931">
        <f t="shared" si="5"/>
        <v>0</v>
      </c>
      <c r="AG18" s="931">
        <f t="shared" si="5"/>
        <v>0</v>
      </c>
      <c r="AH18" s="931">
        <f t="shared" si="5"/>
        <v>0</v>
      </c>
      <c r="AI18" s="931">
        <f t="shared" si="5"/>
        <v>0</v>
      </c>
      <c r="AJ18" s="931">
        <f t="shared" si="5"/>
        <v>923</v>
      </c>
      <c r="AK18" s="931">
        <f t="shared" si="5"/>
        <v>7924</v>
      </c>
      <c r="AL18" s="931">
        <f t="shared" si="5"/>
        <v>0</v>
      </c>
      <c r="AM18" s="931">
        <f t="shared" si="5"/>
        <v>0</v>
      </c>
      <c r="AN18" s="931">
        <f t="shared" si="5"/>
        <v>0</v>
      </c>
      <c r="AO18" s="933">
        <f>IF(ISNUMBER(((NºAsuntos!I18/NºAsuntos!G18)*11)/factor_trimestre),((NºAsuntos!I18/NºAsuntos!G18)*11)/factor_trimestre," - ")</f>
        <v>1.1285714285714286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41</v>
      </c>
      <c r="F19" s="819">
        <f t="shared" si="7"/>
        <v>6172</v>
      </c>
      <c r="G19" s="819">
        <f t="shared" si="7"/>
        <v>6268</v>
      </c>
      <c r="H19" s="820">
        <f t="shared" si="7"/>
        <v>0</v>
      </c>
      <c r="I19" s="819">
        <f t="shared" si="7"/>
        <v>0</v>
      </c>
      <c r="J19" s="821">
        <f t="shared" si="7"/>
        <v>0</v>
      </c>
      <c r="K19" s="819">
        <f t="shared" si="7"/>
        <v>0</v>
      </c>
      <c r="L19" s="822">
        <f t="shared" si="7"/>
        <v>0</v>
      </c>
      <c r="M19" s="819">
        <f t="shared" si="7"/>
        <v>0</v>
      </c>
      <c r="N19" s="820">
        <f t="shared" si="7"/>
        <v>3281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12003</v>
      </c>
      <c r="Z19" s="826">
        <f t="shared" si="8"/>
        <v>5676</v>
      </c>
      <c r="AA19" s="827">
        <f t="shared" si="8"/>
        <v>6898</v>
      </c>
      <c r="AB19" s="827">
        <f t="shared" si="8"/>
        <v>0</v>
      </c>
      <c r="AC19" s="827">
        <f t="shared" si="8"/>
        <v>0</v>
      </c>
      <c r="AD19" s="828">
        <f t="shared" si="8"/>
        <v>0</v>
      </c>
      <c r="AE19" s="828">
        <f t="shared" si="8"/>
        <v>41162</v>
      </c>
      <c r="AF19" s="829">
        <f t="shared" si="8"/>
        <v>0</v>
      </c>
      <c r="AG19" s="830">
        <f t="shared" si="8"/>
        <v>0</v>
      </c>
      <c r="AH19" s="831">
        <f t="shared" si="8"/>
        <v>0</v>
      </c>
      <c r="AI19" s="829">
        <f t="shared" si="8"/>
        <v>0</v>
      </c>
      <c r="AJ19" s="819">
        <f t="shared" si="8"/>
        <v>4017</v>
      </c>
      <c r="AK19" s="819">
        <f t="shared" si="8"/>
        <v>11306</v>
      </c>
      <c r="AL19" s="819">
        <f t="shared" si="8"/>
        <v>0</v>
      </c>
      <c r="AM19" s="832">
        <f t="shared" si="8"/>
        <v>0</v>
      </c>
      <c r="AN19" s="822">
        <f>IF(ISNUMBER(Datos!K19/Datos!J19),Datos!K19/Datos!J19," - ")</f>
        <v>1.1232697147651007</v>
      </c>
      <c r="AO19" s="822">
        <f>IF(ISNUMBER(FIND("06",Criterios!A8,1)),(IF(ISNUMBER(((Datos!R19/Datos!Q19)*11)/factor_trimestre),((Datos!R19/Datos!Q19)*11)/factor_trimestre," - ")),(IF(ISNUMBER(((Datos!L19/Datos!K19)*11)/factor_trimestre),((Datos!L19/Datos!K19)*11)/factor_trimestre," - ")))</f>
        <v>2.6836577510152639</v>
      </c>
      <c r="AP19" s="833" t="str">
        <f>IF(ISNUMBER(Datos!CI19/Datos!CJ19),Datos!CI19/Datos!CJ19," - ")</f>
        <v xml:space="preserve"> - </v>
      </c>
      <c r="AQ19" s="833">
        <f>IF(OR(ISNUMBER(FIND("01",Criterios!A8,1)),ISNUMBER(FIND("02",Criterios!A8,1)),ISNUMBER(FIND("03",Criterios!A8,1)),ISNUMBER(FIND("04",Criterios!A8,1))),(J19-Y19+K19)/(F19-K19),(I19-Y19+K19)/(F19-K19))</f>
        <v>-1.9447504860661049</v>
      </c>
      <c r="AR19" s="833">
        <f>IF(ISNUMBER((Datos!P19-Datos!Q19+O19)/(Datos!R19-Datos!P19+Datos!Q19-O19)),(Datos!P19-Datos!Q19+O19)/(Datos!R19-Datos!P19+Datos!Q19-O19)," - ")</f>
        <v>-5.4985421401841268E-2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2507.1999999999998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3348.6315612998296</v>
      </c>
      <c r="G21" s="551">
        <f>IF(ISNUMBER(STDEV(G8:G18)),STDEV(G8:G18),"-")</f>
        <v>3120.6760805953572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1239.3403775511276</v>
      </c>
      <c r="AK21" s="251"/>
      <c r="AL21" s="251">
        <f>IF(ISNUMBER(STDEV(AL8:AL18)),STDEV(AL8:AL18),"-")</f>
        <v>0</v>
      </c>
      <c r="AM21" s="253">
        <f>IF(ISNUMBER(STDEV(AM8:AM18)),STDEV(AM8:AM18),"-")</f>
        <v>0</v>
      </c>
      <c r="AN21" s="538">
        <f>IF(ISNUMBER(STDEV(AN8:AN18)),STDEV(AN8:AN18),"-")</f>
        <v>0</v>
      </c>
      <c r="AO21" s="539">
        <f>IF(ISNUMBER(STDEV(AO8:AO18)),STDEV(AO8:AO18),"-")</f>
        <v>1.7205699541201538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Qpdqkec2E3OT2mGXzkfhKyPUuMnto7GiX+U5TdcyxNxyOzAx46eQCt2FxPx7jj6Y+0f8vdWq2OMtuvM7z/Zrw==" saltValue="jsFNgJz0jInHT+NEDkAO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vQjcstMyi+5/+7lLsfwhMWBoPdIGlhi2U95+El6CaVsQS5HKCrOt342ORDDNf3YoZ84ioAcc38Ui04AIPpKw==" saltValue="p/oAPQNKxg6hp8uTJxNg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c/9uOoJJoeeCuismWw0vg/hVqKeF57OQ2cv2NzAafJFiAwgxytze7etXeUEUTnjhiy2OGesNDRD/YVE+xfMtA==" saltValue="XKq6dIUJuRG0T5VSMK4w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0.30558024691358027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0.21607786478925217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WUWfL/jPGgXa5jTkZcakRml8hf/CP1bd01OaDFF9J5abisuW/Vb3dZAJMj6qAPAmU14EbYwwv1DCi0XamQEFg==" saltValue="DvHXV3pm1hbOyQBN3Lsu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Aibv9UE1ffjuFUzkkRn0uUuqJquSbM8hF4fFixBtrHY4E9JQPoDhWY1PgiynKu/yArbVA71sZeQn8ooq4zPZQ==" saltValue="kF2xV6gPr7UsBD+UPmY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ZARAGOZA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19</v>
      </c>
      <c r="C9" s="402">
        <f>IF(ISNUMBER(IF(J_V="SI",Datos!I9,Datos!I9+Datos!Y9)),IF(J_V="SI",Datos!I9,Datos!I9+Datos!Y9)," - ")</f>
        <v>23649</v>
      </c>
      <c r="D9" s="403">
        <f>IF(ISNUMBER(C9/Datos!BH9),C9/Datos!BH9," - ")</f>
        <v>1244.6842105263158</v>
      </c>
      <c r="E9" s="402">
        <f>IF(ISNUMBER(IF(J_V="SI",Datos!J9,Datos!J9+Datos!Z9)),IF(J_V="SI",Datos!J9,Datos!J9+Datos!Z9)," - ")</f>
        <v>6474</v>
      </c>
      <c r="F9" s="403">
        <f>IF(ISNUMBER(E9/B9),E9/B9," - ")</f>
        <v>340.73684210526318</v>
      </c>
      <c r="G9" s="402">
        <f>IF(ISNUMBER(IF(J_V="SI",Datos!K9,Datos!K9+Datos!AA9)),IF(J_V="SI",Datos!K9,Datos!K9+Datos!AA9)," - ")</f>
        <v>9020</v>
      </c>
      <c r="H9" s="403">
        <f>IF(ISNUMBER(G9/B9),G9/B9," - ")</f>
        <v>474.73684210526318</v>
      </c>
      <c r="I9" s="402">
        <f>IF(ISNUMBER(IF(J_V="SI",Datos!L9,Datos!L9+Datos!AB9)),IF(J_V="SI",Datos!L9,Datos!L9+Datos!AB9)," - ")</f>
        <v>21395</v>
      </c>
      <c r="J9" s="403">
        <f>IF(ISNUMBER(I9/B9),I9/B9," - ")</f>
        <v>1126.0526315789473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186</v>
      </c>
      <c r="D10" s="403">
        <f>IF(ISNUMBER(C10/Datos!BH10),C10/Datos!BH10," - ")</f>
        <v>62</v>
      </c>
      <c r="E10" s="402">
        <f>IF(ISNUMBER(Datos!J10),Datos!J10," - ")</f>
        <v>100</v>
      </c>
      <c r="F10" s="403">
        <f>IF(ISNUMBER(E10/B10),E10/B10," - ")</f>
        <v>33.333333333333336</v>
      </c>
      <c r="G10" s="402">
        <f>IF(ISNUMBER(Datos!K10),Datos!K10," - ")</f>
        <v>103</v>
      </c>
      <c r="H10" s="403">
        <f>IF(ISNUMBER(G10/B10),G10/B10," - ")</f>
        <v>34.333333333333336</v>
      </c>
      <c r="I10" s="402">
        <f>IF(ISNUMBER(Datos!L10),Datos!L10," - ")</f>
        <v>183</v>
      </c>
      <c r="J10" s="403">
        <f>IF(ISNUMBER(I10/B10),I10/B10," - ")</f>
        <v>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1223</v>
      </c>
      <c r="D11" s="403">
        <f>IF(ISNUMBER(C11/Datos!BH11),C11/Datos!BH11," - ")</f>
        <v>305.75</v>
      </c>
      <c r="E11" s="402">
        <f>IF(ISNUMBER(IF(J_V="SI",Datos!J11,Datos!J11+Datos!Z11)),IF(J_V="SI",Datos!J11,Datos!J11+Datos!Z11)," - ")</f>
        <v>893</v>
      </c>
      <c r="F11" s="403">
        <f>IF(ISNUMBER(E11/B11),E11/B11," - ")</f>
        <v>223.25</v>
      </c>
      <c r="G11" s="402">
        <f>IF(ISNUMBER(IF(J_V="SI",Datos!K11,Datos!K11+Datos!AA11)),IF(J_V="SI",Datos!K11,Datos!K11+Datos!AA11)," - ")</f>
        <v>1002</v>
      </c>
      <c r="H11" s="403">
        <f>IF(ISNUMBER(G11/B11),G11/B11," - ")</f>
        <v>250.5</v>
      </c>
      <c r="I11" s="402">
        <f>IF(ISNUMBER(IF(J_V="SI",Datos!L11,Datos!L11+Datos!AB11)),IF(J_V="SI",Datos!L11,Datos!L11+Datos!AB11)," - ")</f>
        <v>1114</v>
      </c>
      <c r="J11" s="403">
        <f>IF(ISNUMBER(I11/B11),I11/B11," - ")</f>
        <v>278.5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26</v>
      </c>
      <c r="C13" s="848">
        <f>SUBTOTAL(9,C8:C12)</f>
        <v>25058</v>
      </c>
      <c r="D13" s="849" t="str">
        <f>IF(ISNUMBER(C13/Datos!BI13),C13/Datos!BI13," - ")</f>
        <v xml:space="preserve"> - </v>
      </c>
      <c r="E13" s="848">
        <f>SUBTOTAL(9,E8:E12)</f>
        <v>7467</v>
      </c>
      <c r="F13" s="849">
        <f>IF(ISNUMBER(E13/B13),E13/B13," - ")</f>
        <v>287.19230769230768</v>
      </c>
      <c r="G13" s="848">
        <f>SUBTOTAL(9,G8:G12)</f>
        <v>10125</v>
      </c>
      <c r="H13" s="849">
        <f>IF(ISNUMBER(G13/B13),G13/B13," - ")</f>
        <v>389.42307692307691</v>
      </c>
      <c r="I13" s="848">
        <f>SUBTOTAL(9,I8:I12)</f>
        <v>22692</v>
      </c>
      <c r="J13" s="849">
        <f>IF(ISNUMBER(I13/B13),I13/B13," - ")</f>
        <v>872.76923076923072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5764</v>
      </c>
      <c r="D15" s="403">
        <f>IF(ISNUMBER(C15/Datos!BH15),C15/Datos!BH15," - ")</f>
        <v>480.33333333333331</v>
      </c>
      <c r="E15" s="402">
        <f>IF(ISNUMBER(IF(D_I="SI",Datos!J15,Datos!J15+Datos!AD15)),IF(D_I="SI",Datos!J15,Datos!J15+Datos!AD15)," - ")</f>
        <v>11009</v>
      </c>
      <c r="F15" s="403">
        <f>IF(ISNUMBER(E15/B15),E15/B15," - ")</f>
        <v>917.41666666666663</v>
      </c>
      <c r="G15" s="402">
        <f>IF(ISNUMBER(IF(D_I="SI",Datos!K15,Datos!K15+Datos!AE15)),IF(D_I="SI",Datos!K15,Datos!K15+Datos!AE15)," - ")</f>
        <v>10594</v>
      </c>
      <c r="H15" s="403">
        <f>IF(ISNUMBER(G15/B15),G15/B15," - ")</f>
        <v>882.83333333333337</v>
      </c>
      <c r="I15" s="402">
        <f>IF(ISNUMBER(IF(D_I="SI",Datos!L15,Datos!L15+Datos!AF15)),IF(D_I="SI",Datos!L15,Datos!L15+Datos!AF15)," - ")</f>
        <v>6401</v>
      </c>
      <c r="J15" s="403">
        <f>IF(ISNUMBER(I15/B15),I15/B15," - ")</f>
        <v>533.41666666666663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318</v>
      </c>
      <c r="D17" s="403">
        <f>IF(ISNUMBER(C17/Datos!BH17),C17/Datos!BH17," - ")</f>
        <v>106</v>
      </c>
      <c r="E17" s="402">
        <f>IF(ISNUMBER(IF(D_I="SI",Datos!J17,Datos!J17+Datos!AD17)),IF(D_I="SI",Datos!J17,Datos!J17+Datos!AD17)," - ")</f>
        <v>1282</v>
      </c>
      <c r="F17" s="403">
        <f>IF(ISNUMBER(E17/B17),E17/B17," - ")</f>
        <v>427.33333333333331</v>
      </c>
      <c r="G17" s="402">
        <f>IF(ISNUMBER(IF(D_I="SI",Datos!K17,Datos!K17+Datos!AE17)),IF(D_I="SI",Datos!K17,Datos!K17+Datos!AE17)," - ")</f>
        <v>1306</v>
      </c>
      <c r="H17" s="403">
        <f>IF(ISNUMBER(G17/B17),G17/B17," - ")</f>
        <v>435.33333333333331</v>
      </c>
      <c r="I17" s="402">
        <f>IF(ISNUMBER(IF(D_I="SI",Datos!L17,Datos!L17+Datos!AF17)),IF(D_I="SI",Datos!L17,Datos!L17+Datos!AF17)," - ")</f>
        <v>314</v>
      </c>
      <c r="J17" s="403">
        <f>IF(ISNUMBER(I17/B17),I17/B17," - ")</f>
        <v>104.66666666666667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6082</v>
      </c>
      <c r="D18" s="849" t="str">
        <f>IF(ISNUMBER(C18/Datos!BI18),C18/Datos!BI18," - ")</f>
        <v xml:space="preserve"> - </v>
      </c>
      <c r="E18" s="848">
        <f>SUBTOTAL(9,E14:E17)</f>
        <v>12291</v>
      </c>
      <c r="F18" s="849">
        <f>IF(ISNUMBER(E18/B18),E18/B18," - ")</f>
        <v>819.4</v>
      </c>
      <c r="G18" s="848">
        <f>SUBTOTAL(9,G14:G17)</f>
        <v>11900</v>
      </c>
      <c r="H18" s="849">
        <f>IF(ISNUMBER(G18/B18),G18/B18," - ")</f>
        <v>793.33333333333337</v>
      </c>
      <c r="I18" s="848">
        <f>SUBTOTAL(9,I14:I17)</f>
        <v>6715</v>
      </c>
      <c r="J18" s="849">
        <f>IF(ISNUMBER(I18/B18),I18/B18," - ")</f>
        <v>447.66666666666669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38</v>
      </c>
      <c r="C19" s="793">
        <f>SUBTOTAL(9,C9:C18)</f>
        <v>31140</v>
      </c>
      <c r="D19" s="794" t="str">
        <f>IF(ISNUMBER(C19/Datos!BI19),C19/Datos!BI19," - ")</f>
        <v xml:space="preserve"> - </v>
      </c>
      <c r="E19" s="793">
        <f>SUBTOTAL(9,E9:E18)</f>
        <v>19758</v>
      </c>
      <c r="F19" s="794">
        <f>IF(ISNUMBER(E19/B19),E19/B19," - ")</f>
        <v>519.9473684210526</v>
      </c>
      <c r="G19" s="793">
        <f>SUBTOTAL(9,G9:G18)</f>
        <v>22025</v>
      </c>
      <c r="H19" s="794">
        <f>IF(ISNUMBER(G19/B19),G19/B19," - ")</f>
        <v>579.60526315789468</v>
      </c>
      <c r="I19" s="793">
        <f>SUBTOTAL(9,I9:I18)</f>
        <v>29407</v>
      </c>
      <c r="J19" s="794">
        <f>IF(ISNUMBER(I19/B19),I19/B19," - ")</f>
        <v>773.86842105263156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RDZayRrSaCNnyr3kLi9LqWtSWXRj+3DCSAFsP9b7eGycDz5pfT1oemNHlQqqPodCnuyNF9BP6LYf71TzkDmdg==" saltValue="irjUGClwJBWl+t7dkPLQ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ZARAGOZA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19</v>
      </c>
      <c r="B9" s="500" t="s">
        <v>246</v>
      </c>
      <c r="C9" s="159" t="str">
        <f>Datos!A9</f>
        <v xml:space="preserve">Jdos. 1ª Instancia   </v>
      </c>
      <c r="D9" s="501"/>
      <c r="E9" s="681">
        <f>IF(ISNUMBER(Datos!AQ9),Datos!AQ9," - ")</f>
        <v>19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186</v>
      </c>
      <c r="G10" s="683">
        <f>IF(ISNUMBER(Datos!I10),Datos!I10," - ")</f>
        <v>186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103</v>
      </c>
      <c r="AC10" s="682" t="str">
        <f>IF(ISNUMBER(IF(D_I="SI",DatosP!K17,DatosP!K17+DatosP!AE17)),IF(D_I="SI",DatosP!K17,DatosP!K17+DatosP!AE17)," - ")</f>
        <v xml:space="preserve"> - </v>
      </c>
      <c r="AD10" s="684"/>
      <c r="AE10" s="684"/>
      <c r="AF10" s="687">
        <f>IF(ISNUMBER(Datos!L10),Datos!L10,"-")</f>
        <v>183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44</v>
      </c>
      <c r="AM10" s="689">
        <f>IF(ISNUMBER(Datos!N10+DatosP!N17),Datos!N10+DatosP!N17," - ")</f>
        <v>46</v>
      </c>
      <c r="AN10" s="689">
        <f>IF(ISNUMBER(Datos!BW10+DatosP!BW17),Datos!BW10+DatosP!BW17," - ")</f>
        <v>0</v>
      </c>
      <c r="AO10" s="690">
        <f>IF(ISNUMBER(Datos!BX10+DatosP!BX17),Datos!BX10+DatosP!BX17," - ")</f>
        <v>0</v>
      </c>
      <c r="AP10" s="692">
        <f>IF(ISNUMBER(((Datos!L10/Datos!K10)*11)/factor_trimestre),((Datos!L10/Datos!K10)*11)/factor_trimestre," - ")</f>
        <v>3.5533980582524269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26</v>
      </c>
      <c r="F13" s="937">
        <f t="shared" si="0"/>
        <v>186</v>
      </c>
      <c r="G13" s="937">
        <f t="shared" si="0"/>
        <v>186</v>
      </c>
      <c r="H13" s="937">
        <f t="shared" si="0"/>
        <v>0</v>
      </c>
      <c r="I13" s="939">
        <f t="shared" si="0"/>
        <v>0</v>
      </c>
      <c r="J13" s="938">
        <f t="shared" si="0"/>
        <v>0</v>
      </c>
      <c r="K13" s="938">
        <f t="shared" si="0"/>
        <v>0</v>
      </c>
      <c r="L13" s="940">
        <f t="shared" si="0"/>
        <v>0</v>
      </c>
      <c r="M13" s="940">
        <f t="shared" si="0"/>
        <v>0</v>
      </c>
      <c r="N13" s="938">
        <f t="shared" si="0"/>
        <v>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103</v>
      </c>
      <c r="AC13" s="938">
        <f t="shared" si="1"/>
        <v>0</v>
      </c>
      <c r="AD13" s="938">
        <f t="shared" si="1"/>
        <v>0</v>
      </c>
      <c r="AE13" s="938">
        <f t="shared" si="1"/>
        <v>0</v>
      </c>
      <c r="AF13" s="938">
        <f t="shared" si="1"/>
        <v>183</v>
      </c>
      <c r="AG13" s="938">
        <f t="shared" si="1"/>
        <v>0</v>
      </c>
      <c r="AH13" s="938">
        <f t="shared" si="1"/>
        <v>0</v>
      </c>
      <c r="AI13" s="938">
        <f t="shared" si="1"/>
        <v>0</v>
      </c>
      <c r="AJ13" s="938">
        <f t="shared" si="1"/>
        <v>0</v>
      </c>
      <c r="AK13" s="938">
        <f t="shared" si="1"/>
        <v>0</v>
      </c>
      <c r="AL13" s="938">
        <f t="shared" si="1"/>
        <v>44</v>
      </c>
      <c r="AM13" s="938">
        <f t="shared" si="1"/>
        <v>46</v>
      </c>
      <c r="AN13" s="938">
        <f t="shared" si="1"/>
        <v>0</v>
      </c>
      <c r="AO13" s="938">
        <f t="shared" si="1"/>
        <v>0</v>
      </c>
      <c r="AP13" s="943">
        <f>IF(ISNUMBER(((Datos!L13/Datos!K13)*11)/factor_trimestre),((Datos!L13/Datos!K13)*11)/factor_trimestre," - ")</f>
        <v>4.6269032867793767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-0.55376344086021501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1.1285714285714286</v>
      </c>
      <c r="AQ18" s="943">
        <f>IF(ISNUMBER(((Datos!M18/Datos!L18)*11)/factor_trimestre),((Datos!M18/Datos!L18)*11)/factor_trimestre," - ")</f>
        <v>0.27490692479523454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-3.640776699029126E-2</v>
      </c>
      <c r="AW18" s="945">
        <f>IF(ISNUMBER((Datos!Q18-Datos!R18)/(Datos!S18-Datos!Q18+Datos!R18)),(Datos!Q18-Datos!R18)/(Datos!S18-Datos!Q18+Datos!R18)," - ")</f>
        <v>-9.958904109589041E-2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26</v>
      </c>
      <c r="F19" s="950">
        <f t="shared" si="4"/>
        <v>186</v>
      </c>
      <c r="G19" s="950">
        <f t="shared" si="4"/>
        <v>186</v>
      </c>
      <c r="H19" s="950">
        <f t="shared" si="4"/>
        <v>0</v>
      </c>
      <c r="I19" s="951">
        <f t="shared" si="4"/>
        <v>0</v>
      </c>
      <c r="J19" s="952">
        <f t="shared" si="4"/>
        <v>0</v>
      </c>
      <c r="K19" s="952">
        <f t="shared" si="4"/>
        <v>0</v>
      </c>
      <c r="L19" s="952">
        <f t="shared" si="4"/>
        <v>0</v>
      </c>
      <c r="M19" s="952">
        <f t="shared" si="4"/>
        <v>0</v>
      </c>
      <c r="N19" s="951">
        <f t="shared" si="4"/>
        <v>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103</v>
      </c>
      <c r="AC19" s="956">
        <f t="shared" si="5"/>
        <v>0</v>
      </c>
      <c r="AD19" s="956">
        <f t="shared" si="5"/>
        <v>0</v>
      </c>
      <c r="AE19" s="956">
        <f t="shared" si="5"/>
        <v>0</v>
      </c>
      <c r="AF19" s="957">
        <f t="shared" si="5"/>
        <v>183</v>
      </c>
      <c r="AG19" s="957">
        <f t="shared" si="5"/>
        <v>0</v>
      </c>
      <c r="AH19" s="957">
        <f t="shared" si="5"/>
        <v>0</v>
      </c>
      <c r="AI19" s="957">
        <f t="shared" si="5"/>
        <v>0</v>
      </c>
      <c r="AJ19" s="958">
        <f t="shared" si="5"/>
        <v>0</v>
      </c>
      <c r="AK19" s="958">
        <f t="shared" si="5"/>
        <v>0</v>
      </c>
      <c r="AL19" s="950">
        <f t="shared" si="5"/>
        <v>44</v>
      </c>
      <c r="AM19" s="950">
        <f t="shared" si="5"/>
        <v>46</v>
      </c>
      <c r="AN19" s="950">
        <f t="shared" si="5"/>
        <v>0</v>
      </c>
      <c r="AO19" s="950">
        <f t="shared" si="5"/>
        <v>0</v>
      </c>
      <c r="AP19" s="950">
        <f>IF(ISNUMBER(((Datos!L19/Datos!K19)*11)/factor_trimestre),((Datos!L19/Datos!K19)*11)/factor_trimestre," - ")</f>
        <v>2.6836577510152639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-0.55376344086021501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-5.4985421401841268E-2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11.057425860780919</v>
      </c>
      <c r="F21" s="735">
        <f>IF(ISNUMBER(STDEV(F8:F18)),STDEV(F8:F18),"-")</f>
        <v>107.38715006927039</v>
      </c>
      <c r="G21" s="736">
        <f>IF(ISNUMBER(STDEV(G8:G18)),STDEV(G8:G18),"-")</f>
        <v>107.38715006927039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59.46707772653145</v>
      </c>
      <c r="AC21" s="737">
        <f>IF(ISNUMBER(STDEV(AC8:AC18)),STDEV(AC8:AC18),"-")</f>
        <v>0</v>
      </c>
      <c r="AD21" s="740"/>
      <c r="AE21" s="740"/>
      <c r="AF21" s="740"/>
      <c r="AG21" s="740"/>
      <c r="AH21" s="740"/>
      <c r="AI21" s="740"/>
      <c r="AJ21" s="741">
        <f>IF(ISNUMBER(STDEV(AJ8:AJ18)),STDEV(AJ8:AJ18),"-")</f>
        <v>0</v>
      </c>
      <c r="AK21" s="743"/>
      <c r="AL21" s="735">
        <f>IF(ISNUMBER(STDEV(AL8:AL18)),STDEV(AL8:AL18),"-")</f>
        <v>25.40341184434353</v>
      </c>
      <c r="AM21" s="735"/>
      <c r="AN21" s="735">
        <f>IF(ISNUMBER(STDEV(AN8:AN18)),STDEV(AN8:AN18),"-")</f>
        <v>0</v>
      </c>
      <c r="AO21" s="741">
        <f>IF(ISNUMBER(STDEV(AO8:AO18)),STDEV(AO8:AO18),"-")</f>
        <v>0</v>
      </c>
      <c r="AP21" s="778">
        <f>IF(ISNUMBER(STDEV(AP8:AP18)),STDEV(AP8:AP18),"-")</f>
        <v>1.7921366879527478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83Fz/tRCvsEFiXaJVKw2uV84Pjxynb7E7MmHJvvmo8uIpHqMhgR0uuImJfo3Kwn86iwPJa+1DjL727cmtygaQ==" saltValue="qh5F4PltND0o/uzICLzP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ZARAGOZA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19</v>
      </c>
      <c r="D9" s="402">
        <f>Datos!BK9</f>
        <v>0</v>
      </c>
      <c r="E9" s="402">
        <f>Datos!AQ9</f>
        <v>19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7FrDJM+ib0qRZAx9JzTfhBie6MJuSd6E/AgXFP83yOMpsasJWTJpG4QhqEfhdLbqtodyHh7PQ6WDgjg1c5XPw==" saltValue="gV6A9MhMbx1xEqo5tIDk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ZARAGOZA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19</v>
      </c>
      <c r="C9" s="409">
        <f>Datos!AQ9</f>
        <v>19</v>
      </c>
      <c r="D9" s="402">
        <f>IF(ISNUMBER(Datos!M9),Datos!M9," - ")</f>
        <v>2697</v>
      </c>
      <c r="E9" s="403">
        <f t="shared" ref="E9:E13" si="0">IF(ISNUMBER(D9/B9),D9/B9," - ")</f>
        <v>141.94736842105263</v>
      </c>
      <c r="F9" s="402">
        <f>IF(ISNUMBER(Datos!N9),Datos!N9," - ")</f>
        <v>3014</v>
      </c>
      <c r="G9" s="403">
        <f t="shared" ref="G9:G13" si="1">IF(ISNUMBER(F9/B9),F9/B9," - ")</f>
        <v>158.63157894736841</v>
      </c>
      <c r="H9" s="402">
        <f>IF(ISNUMBER(Datos!O9),Datos!O9," - ")</f>
        <v>4054</v>
      </c>
      <c r="I9" s="403">
        <f>IF(ISNUMBER(H9/B9),H9/B9," - ")</f>
        <v>213.36842105263159</v>
      </c>
      <c r="BZ9" s="1185">
        <f>Datos!EZ9</f>
        <v>0</v>
      </c>
    </row>
    <row r="10" spans="1:78">
      <c r="A10" s="401" t="str">
        <f>Datos!A10</f>
        <v>Jdos. Violencia contra la mujer/Secc Viol. TI.</v>
      </c>
      <c r="B10" s="426">
        <f>Datos!AO10</f>
        <v>3</v>
      </c>
      <c r="C10" s="409">
        <f>Datos!AQ10</f>
        <v>3</v>
      </c>
      <c r="D10" s="402">
        <f>IF(ISNUMBER(Datos!M10),Datos!M10," - ")</f>
        <v>44</v>
      </c>
      <c r="E10" s="403">
        <f>IF(ISNUMBER(D10/B10),D10/B10," - ")</f>
        <v>14.666666666666666</v>
      </c>
      <c r="F10" s="402">
        <f>IF(ISNUMBER(Datos!N10),Datos!N10," - ")</f>
        <v>46</v>
      </c>
      <c r="G10" s="403">
        <f>IF(ISNUMBER(F10/B10),F10/B10," - ")</f>
        <v>15.333333333333334</v>
      </c>
      <c r="H10" s="402">
        <f>IF(ISNUMBER(Datos!O10),Datos!O10," - ")</f>
        <v>29</v>
      </c>
      <c r="I10" s="403">
        <f t="shared" ref="I10:I12" si="2">IF(ISNUMBER(H10/B10),H10/B10," - ")</f>
        <v>9.6666666666666661</v>
      </c>
      <c r="BZ10" s="1185">
        <f>Datos!EZ10</f>
        <v>0</v>
      </c>
    </row>
    <row r="11" spans="1:78">
      <c r="A11" s="401" t="str">
        <f>Datos!A11</f>
        <v xml:space="preserve">Jdos. Familia                                   </v>
      </c>
      <c r="B11" s="426">
        <f>Datos!AO11</f>
        <v>4</v>
      </c>
      <c r="C11" s="409">
        <f>Datos!AQ11</f>
        <v>4</v>
      </c>
      <c r="D11" s="402">
        <f>IF(ISNUMBER(Datos!M11),Datos!M11," - ")</f>
        <v>353</v>
      </c>
      <c r="E11" s="403">
        <f t="shared" si="0"/>
        <v>88.25</v>
      </c>
      <c r="F11" s="402">
        <f>IF(ISNUMBER(Datos!N11),Datos!N11," - ")</f>
        <v>322</v>
      </c>
      <c r="G11" s="403">
        <f t="shared" si="1"/>
        <v>80.5</v>
      </c>
      <c r="H11" s="402">
        <f>IF(ISNUMBER(Datos!O11),Datos!O11," - ")</f>
        <v>371</v>
      </c>
      <c r="I11" s="403">
        <f t="shared" si="2"/>
        <v>92.75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26</v>
      </c>
      <c r="C13" s="850">
        <f>Datos!AR13</f>
        <v>26</v>
      </c>
      <c r="D13" s="848">
        <f>SUBTOTAL(9,D9:D12)</f>
        <v>3094</v>
      </c>
      <c r="E13" s="849">
        <f t="shared" si="0"/>
        <v>119</v>
      </c>
      <c r="F13" s="848">
        <f>SUBTOTAL(9,F9:F12)</f>
        <v>3382</v>
      </c>
      <c r="G13" s="849">
        <f t="shared" si="1"/>
        <v>130.07692307692307</v>
      </c>
      <c r="H13" s="848">
        <f>SUBTOTAL(9,H9:H12)</f>
        <v>4454</v>
      </c>
      <c r="I13" s="849">
        <f>IF(ISNUMBER(H13/B13),H13/B13," - ")</f>
        <v>171.30769230769232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766</v>
      </c>
      <c r="E15" s="403">
        <f t="shared" ref="E15:E18" si="3">IF(ISNUMBER(D15/B15),D15/B15," - ")</f>
        <v>63.833333333333336</v>
      </c>
      <c r="F15" s="402">
        <f>IF(ISNUMBER(Datos!N15),Datos!N15," - ")</f>
        <v>7266</v>
      </c>
      <c r="G15" s="403">
        <f t="shared" ref="G15:G18" si="4">IF(ISNUMBER(F15/B15),F15/B15," - ")</f>
        <v>605.5</v>
      </c>
      <c r="H15" s="402">
        <f>IF(ISNUMBER(Datos!O15),Datos!O15," - ")</f>
        <v>315</v>
      </c>
      <c r="I15" s="403">
        <f t="shared" ref="I15:I17" si="5">IF(ISNUMBER(H15/B15),H15/B15," - ")</f>
        <v>26.25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157</v>
      </c>
      <c r="E17" s="403">
        <f>IF(ISNUMBER(D17/B17),D17/B17," - ")</f>
        <v>52.333333333333336</v>
      </c>
      <c r="F17" s="402">
        <f>IF(ISNUMBER(Datos!N17),Datos!N17," - ")</f>
        <v>658</v>
      </c>
      <c r="G17" s="403">
        <f>IF(ISNUMBER(F17/B17),F17/B17," - ")</f>
        <v>219.33333333333334</v>
      </c>
      <c r="H17" s="402">
        <f>IF(ISNUMBER(Datos!O17),Datos!O17," - ")</f>
        <v>19</v>
      </c>
      <c r="I17" s="403">
        <f t="shared" si="5"/>
        <v>6.333333333333333</v>
      </c>
      <c r="BZ17" s="1185">
        <f>Datos!EZ17</f>
        <v>0</v>
      </c>
    </row>
    <row r="18" spans="1:78" ht="14.25" thickTop="1" thickBot="1">
      <c r="A18" s="847" t="str">
        <f>Datos!A18</f>
        <v>TOTAL</v>
      </c>
      <c r="B18" s="848">
        <f>Datos!AP18</f>
        <v>15</v>
      </c>
      <c r="C18" s="850">
        <f>Datos!AR18</f>
        <v>15</v>
      </c>
      <c r="D18" s="848">
        <f>SUBTOTAL(9,D15:D17)</f>
        <v>923</v>
      </c>
      <c r="E18" s="849">
        <f t="shared" si="3"/>
        <v>61.533333333333331</v>
      </c>
      <c r="F18" s="848">
        <f>SUBTOTAL(9,F15:F17)</f>
        <v>7924</v>
      </c>
      <c r="G18" s="849">
        <f t="shared" si="4"/>
        <v>528.26666666666665</v>
      </c>
      <c r="H18" s="848">
        <f>SUBTOTAL(9,H15:H17)</f>
        <v>334</v>
      </c>
      <c r="I18" s="849">
        <f>IF(ISNUMBER(H18/B18),H18/B18," - ")</f>
        <v>22.266666666666666</v>
      </c>
      <c r="BZ18" s="1185"/>
    </row>
    <row r="19" spans="1:78" ht="14.25" thickTop="1" thickBot="1">
      <c r="A19" s="792" t="str">
        <f>Datos!A19</f>
        <v>TOTAL JURISDICCIONES</v>
      </c>
      <c r="B19" s="793">
        <f>Datos!AP19</f>
        <v>38</v>
      </c>
      <c r="C19" s="793">
        <f>Datos!AR19</f>
        <v>38</v>
      </c>
      <c r="D19" s="793">
        <f>SUBTOTAL(9,D8:D18)</f>
        <v>4017</v>
      </c>
      <c r="E19" s="794">
        <f>IF(ISNUMBER(D19/B19),D19/B19," - ")</f>
        <v>105.71052631578948</v>
      </c>
      <c r="F19" s="793">
        <f>SUBTOTAL(9,F8:F18)</f>
        <v>11306</v>
      </c>
      <c r="G19" s="794">
        <f>IF(ISNUMBER(F19/B19),F19/B19," - ")</f>
        <v>297.5263157894737</v>
      </c>
      <c r="H19" s="793">
        <f>SUBTOTAL(9,H8:H18)</f>
        <v>4788</v>
      </c>
      <c r="I19" s="794">
        <f>IF(ISNUMBER(H19/B19),H19/B19," - ")</f>
        <v>126</v>
      </c>
    </row>
    <row r="22" spans="1:78">
      <c r="A22" s="390" t="str">
        <f>Criterios!A4</f>
        <v>Fecha Informe: 09 dic. 2025</v>
      </c>
    </row>
    <row r="27" spans="1:78">
      <c r="A27" s="413"/>
    </row>
  </sheetData>
  <sheetProtection algorithmName="SHA-512" hashValue="vkl5MLj23gfyF7p4hmq+wKtSD+zoRaRRZ3iEvZbCq0EzmxlJGhAABAc+XzfNcxMLj0Kdp18em19gXZpxB6C1/Q==" saltValue="E9C7CRPQ2lJ6Jx1KLj/A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ZARAGOZA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2702</v>
      </c>
      <c r="C9" s="433">
        <f>IF(ISNUMBER(Datos!Q9),Datos!Q9," - ")</f>
        <v>4861</v>
      </c>
      <c r="D9" s="407">
        <f>IF(ISNUMBER(Datos!R9),Datos!R9," - ")</f>
        <v>38379</v>
      </c>
    </row>
    <row r="10" spans="1:4">
      <c r="A10" s="401" t="str">
        <f>Datos!A10</f>
        <v>Jdos. Violencia contra la mujer/Secc Viol. TI.</v>
      </c>
      <c r="B10" s="432">
        <f>IF(ISNUMBER(Datos!P10),Datos!P10," - ")</f>
        <v>18</v>
      </c>
      <c r="C10" s="433">
        <f>IF(ISNUMBER(Datos!Q10),Datos!Q10," - ")</f>
        <v>95</v>
      </c>
      <c r="D10" s="407">
        <f>IF(ISNUMBER(Datos!R10),Datos!R10," - ")</f>
        <v>281</v>
      </c>
    </row>
    <row r="11" spans="1:4">
      <c r="A11" s="401" t="str">
        <f>Datos!A11</f>
        <v xml:space="preserve">Jdos. Familia                                   </v>
      </c>
      <c r="B11" s="432">
        <f>IF(ISNUMBER(Datos!P11),Datos!P11," - ")</f>
        <v>142</v>
      </c>
      <c r="C11" s="433">
        <f>IF(ISNUMBER(Datos!Q11),Datos!Q11," - ")</f>
        <v>256</v>
      </c>
      <c r="D11" s="407">
        <f>IF(ISNUMBER(Datos!R11),Datos!R11," - ")</f>
        <v>1311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2862</v>
      </c>
      <c r="C13" s="852">
        <f>SUBTOTAL(9,C9:C12)</f>
        <v>5212</v>
      </c>
      <c r="D13" s="850">
        <f>SUBTOTAL(9,D9:D12)</f>
        <v>39971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381</v>
      </c>
      <c r="C15" s="433">
        <f>IF(ISNUMBER(Datos!Q15),Datos!Q15," - ")</f>
        <v>448</v>
      </c>
      <c r="D15" s="407">
        <f>IF(ISNUMBER(Datos!R15),Datos!R15," - ")</f>
        <v>1130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38</v>
      </c>
      <c r="C17" s="433">
        <f>IF(ISNUMBER(Datos!Q17),Datos!Q17," - ")</f>
        <v>16</v>
      </c>
      <c r="D17" s="407">
        <f>IF(ISNUMBER(Datos!R17),Datos!R17," - ")</f>
        <v>61</v>
      </c>
    </row>
    <row r="18" spans="1:4" ht="14.25" thickTop="1" thickBot="1">
      <c r="A18" s="847" t="str">
        <f>Datos!A18</f>
        <v>TOTAL</v>
      </c>
      <c r="B18" s="848">
        <f>SUBTOTAL(9,B15:B17)</f>
        <v>419</v>
      </c>
      <c r="C18" s="852">
        <f>SUBTOTAL(9,C15:C17)</f>
        <v>464</v>
      </c>
      <c r="D18" s="850">
        <f>SUBTOTAL(9,D15:D17)</f>
        <v>1191</v>
      </c>
    </row>
    <row r="19" spans="1:4" ht="16.5" customHeight="1" thickTop="1" thickBot="1">
      <c r="A19" s="792" t="str">
        <f>Datos!A19</f>
        <v>TOTAL JURISDICCIONES</v>
      </c>
      <c r="B19" s="797">
        <f>SUBTOTAL(9,B8:B18)</f>
        <v>3281</v>
      </c>
      <c r="C19" s="798">
        <f>SUBTOTAL(9,C8:C18)</f>
        <v>5676</v>
      </c>
      <c r="D19" s="799">
        <f>SUBTOTAL(9,D8:D18)</f>
        <v>41162</v>
      </c>
    </row>
    <row r="20" spans="1:4" ht="7.5" customHeight="1"/>
    <row r="21" spans="1:4" ht="6" customHeight="1"/>
    <row r="22" spans="1:4">
      <c r="A22" s="390" t="str">
        <f>Criterios!A4</f>
        <v>Fecha Informe: 09 dic. 2025</v>
      </c>
    </row>
    <row r="27" spans="1:4">
      <c r="A27" s="413"/>
    </row>
  </sheetData>
  <sheetProtection algorithmName="SHA-512" hashValue="OHI42SAFFQS492kzPE2rZi/M76zoKcVl4Mq2WRbBw9EMOUQM0rUuTL/Jv31Z7tTr4Y9WmvccwkYPkfuHhJ7pjA==" saltValue="ZsSucNvkxHcayIjud4wZ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ZARAGOZA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-9.2447616854708731E-2</v>
      </c>
      <c r="C9" s="455">
        <f>IF(ISNUMBER(
   IF(J_V="SI",(Datos!J9-Datos!T9)/Datos!T9,(Datos!J9+Datos!Z9-(Datos!T9+Datos!AH9))/(Datos!T9+Datos!AH9))
     ),IF(J_V="SI",(Datos!J9-Datos!T9)/Datos!T9,(Datos!J9+Datos!Z9-(Datos!T9+Datos!AH9))/(Datos!T9+Datos!AH9))," - ")</f>
        <v>-0.29438692098092645</v>
      </c>
      <c r="D9" s="455">
        <f>IF(ISNUMBER(
   IF(J_V="SI",(Datos!K9-Datos!U9)/Datos!U9,(Datos!K9+Datos!AA9-(Datos!U9+Datos!AI9))/(Datos!U9+Datos!AI9))
     ),IF(J_V="SI",(Datos!K9-Datos!U9)/Datos!U9,(Datos!K9+Datos!AA9-(Datos!U9+Datos!AI9))/(Datos!U9+Datos!AI9))," - ")</f>
        <v>-8.2462891698735566E-3</v>
      </c>
      <c r="E9" s="455">
        <f>IF(ISNUMBER(
   IF(J_V="SI",(Datos!L9-Datos!V9)/Datos!V9,(Datos!L9+Datos!AB9-(Datos!V9+Datos!AJ9))/(Datos!V9+Datos!AJ9))
     ),IF(J_V="SI",(Datos!L9-Datos!V9)/Datos!V9,(Datos!L9+Datos!AB9-(Datos!V9+Datos!AJ9))/(Datos!V9+Datos!AJ9))," - ")</f>
        <v>-0.1814599433774581</v>
      </c>
      <c r="F9" s="455">
        <f>IF(ISNUMBER((Datos!M9-Datos!W9)/Datos!W9),(Datos!M9-Datos!W9)/Datos!W9," - ")</f>
        <v>-0.21438974657733761</v>
      </c>
      <c r="G9" s="456">
        <f>IF(ISNUMBER((Datos!N9-Datos!X9)/Datos!X9),(Datos!N9-Datos!X9)/Datos!X9," - ")</f>
        <v>6.6401062416998667E-4</v>
      </c>
      <c r="H9" s="454">
        <f>IF(ISNUMBER(((NºAsuntos!G9/NºAsuntos!E9)-Datos!BD9)/Datos!BD9),((NºAsuntos!G9/NºAsuntos!E9)-Datos!BD9)/Datos!BD9," - ")</f>
        <v>0.40552058956849091</v>
      </c>
      <c r="I9" s="455">
        <f>IF(ISNUMBER(((NºAsuntos!I9/NºAsuntos!G9)-Datos!BE9)/Datos!BE9),((NºAsuntos!I9/NºAsuntos!G9)-Datos!BE9)/Datos!BE9," - ")</f>
        <v>-0.17465390077804666</v>
      </c>
      <c r="J9" s="460">
        <f>IF(ISNUMBER((('Resol  Asuntos'!D9/NºAsuntos!G9)-Datos!BF9)/Datos!BF9),(('Resol  Asuntos'!D9/NºAsuntos!G9)-Datos!BF9)/Datos!BF9," - ")</f>
        <v>-9.7136398971740562E-2</v>
      </c>
      <c r="K9" s="461">
        <f>IF(ISNUMBER((((NºAsuntos!C9+NºAsuntos!E9)/NºAsuntos!G9)-Datos!BG9)/Datos!BG9),(((NºAsuntos!C9+NºAsuntos!E9)/NºAsuntos!G9)-Datos!BG9)/Datos!BG9," - ")</f>
        <v>-0.13792556967764111</v>
      </c>
    </row>
    <row r="10" spans="1:11" ht="21">
      <c r="A10" s="401" t="str">
        <f>Datos!A10</f>
        <v>Jdos. Violencia contra la mujer/Secc Viol. TI.</v>
      </c>
      <c r="B10" s="454">
        <f>IF(ISNUMBER((Datos!I10-Datos!S10)/Datos!S10),(Datos!I10-Datos!S10)/Datos!S10," - ")</f>
        <v>0.16250000000000001</v>
      </c>
      <c r="C10" s="455">
        <f>IF(ISNUMBER((Datos!J10-Datos!T10)/Datos!T10),(Datos!J10-Datos!T10)/Datos!T10," - ")</f>
        <v>-0.17355371900826447</v>
      </c>
      <c r="D10" s="455">
        <f>IF(ISNUMBER((Datos!K10-Datos!U10)/Datos!U10),(Datos!K10-Datos!U10)/Datos!U10," - ")</f>
        <v>-1.9047619047619049E-2</v>
      </c>
      <c r="E10" s="455">
        <f>IF(ISNUMBER((Datos!L10-Datos!V10)/Datos!V10),(Datos!L10-Datos!V10)/Datos!V10," - ")</f>
        <v>3.9772727272727272E-2</v>
      </c>
      <c r="F10" s="455">
        <f>IF(ISNUMBER((Datos!M10-Datos!W10)/Datos!W10),(Datos!M10-Datos!W10)/Datos!W10," - ")</f>
        <v>0.51724137931034486</v>
      </c>
      <c r="G10" s="456">
        <f>IF(ISNUMBER((Datos!N10-Datos!X10)/Datos!X10),(Datos!N10-Datos!X10)/Datos!X10," - ")</f>
        <v>-0.24590163934426229</v>
      </c>
      <c r="H10" s="454">
        <f>IF(ISNUMBER(((NºAsuntos!G10/NºAsuntos!E10)-Datos!BD10)/Datos!BD10),((NºAsuntos!G10/NºAsuntos!E10)-Datos!BD10)/Datos!BD10," - ")</f>
        <v>0.18695238095238098</v>
      </c>
      <c r="I10" s="455">
        <f>IF(ISNUMBER(((NºAsuntos!I10/NºAsuntos!G10)-Datos!BE10)/Datos!BE10),((NºAsuntos!I10/NºAsuntos!G10)-Datos!BE10)/Datos!BE10," - ")</f>
        <v>5.9962488967343373E-2</v>
      </c>
      <c r="J10" s="460">
        <f>IF(ISNUMBER((('Resol  Asuntos'!D10/NºAsuntos!G10)-Datos!BF10)/Datos!BF10),(('Resol  Asuntos'!D10/NºAsuntos!G10)-Datos!BF10)/Datos!BF10," - ")</f>
        <v>0.5467023769668562</v>
      </c>
      <c r="K10" s="461">
        <f>IF(ISNUMBER((((NºAsuntos!C10+NºAsuntos!E10)/NºAsuntos!G10)-Datos!BG10)/Datos!BG10),(((NºAsuntos!C10+NºAsuntos!E10)/NºAsuntos!G10)-Datos!BG10)/Datos!BG10," - ")</f>
        <v>3.7556576719759635E-2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-0.11887608069164265</v>
      </c>
      <c r="C11" s="455">
        <f>IF(ISNUMBER(
   IF(J_V="SI",(Datos!J11-Datos!T11)/Datos!T11,(Datos!J11+Datos!Z11-(Datos!T11+Datos!AH11))/(Datos!T11+Datos!AH11))
     ),IF(J_V="SI",(Datos!J11-Datos!T11)/Datos!T11,(Datos!J11+Datos!Z11-(Datos!T11+Datos!AH11))/(Datos!T11+Datos!AH11))," - ")</f>
        <v>-0.05</v>
      </c>
      <c r="D11" s="455">
        <f>IF(ISNUMBER(
   IF(J_V="SI",(Datos!K11-Datos!U11)/Datos!U11,(Datos!K11+Datos!AA11-(Datos!U11+Datos!AI11))/(Datos!U11+Datos!AI11))
     ),IF(J_V="SI",(Datos!K11-Datos!U11)/Datos!U11,(Datos!K11+Datos!AA11-(Datos!U11+Datos!AI11))/(Datos!U11+Datos!AI11))," - ")</f>
        <v>0.1334841628959276</v>
      </c>
      <c r="E11" s="455">
        <f>IF(ISNUMBER(
   IF(J_V="SI",(Datos!L11-Datos!V11)/Datos!V11,(Datos!L11+Datos!AB11-(Datos!V11+Datos!AJ11))/(Datos!V11+Datos!AJ11))
     ),IF(J_V="SI",(Datos!L11-Datos!V11)/Datos!V11,(Datos!L11+Datos!AB11-(Datos!V11+Datos!AJ11))/(Datos!V11+Datos!AJ11))," - ")</f>
        <v>-0.22853185595567868</v>
      </c>
      <c r="F11" s="455">
        <f>IF(ISNUMBER((Datos!M11-Datos!W11)/Datos!W11),(Datos!M11-Datos!W11)/Datos!W11," - ")</f>
        <v>0.15359477124183007</v>
      </c>
      <c r="G11" s="456">
        <f>IF(ISNUMBER((Datos!N11-Datos!X11)/Datos!X11),(Datos!N11-Datos!X11)/Datos!X11," - ")</f>
        <v>-0.24590163934426229</v>
      </c>
      <c r="H11" s="454">
        <f>IF(ISNUMBER(((NºAsuntos!G11/NºAsuntos!E11)-Datos!BD11)/Datos!BD11),((NºAsuntos!G11/NºAsuntos!E11)-Datos!BD11)/Datos!BD11," - ")</f>
        <v>0.19314122410097645</v>
      </c>
      <c r="I11" s="455">
        <f>IF(ISNUMBER(((NºAsuntos!I11/NºAsuntos!G11)-Datos!BE11)/Datos!BE11),((NºAsuntos!I11/NºAsuntos!G11)-Datos!BE11)/Datos!BE11," - ")</f>
        <v>-0.31938339387706577</v>
      </c>
      <c r="J11" s="460">
        <f>IF(ISNUMBER((('Resol  Asuntos'!D11/NºAsuntos!G11)-Datos!BF11)/Datos!BF11),(('Resol  Asuntos'!D11/NºAsuntos!G11)-Datos!BF11)/Datos!BF11," - ")</f>
        <v>-0.27065774773637741</v>
      </c>
      <c r="K11" s="461">
        <f>IF(ISNUMBER((((NºAsuntos!C11+NºAsuntos!E11)/NºAsuntos!G11)-Datos!BG11)/Datos!BG11),(((NºAsuntos!C11+NºAsuntos!E11)/NºAsuntos!G11)-Datos!BG11)/Datos!BG11," - ")</f>
        <v>-0.19810550719866116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-9.2298775628486554E-2</v>
      </c>
      <c r="C13" s="854">
        <f>IF(ISNUMBER(
   IF(J_V="SI",(Datos!J13-Datos!T13)/Datos!T13,(Datos!J13+Datos!Z13-(Datos!T13+Datos!AH13))/(Datos!T13+Datos!AH13))
     ),IF(J_V="SI",(Datos!J13-Datos!T13)/Datos!T13,(Datos!J13+Datos!Z13-(Datos!T13+Datos!AH13))/(Datos!T13+Datos!AH13))," - ")</f>
        <v>-0.2705158264947245</v>
      </c>
      <c r="D13" s="854">
        <f>IF(ISNUMBER(
   IF(J_V="SI",(Datos!K13-Datos!U13)/Datos!U13,(Datos!K13+Datos!AA13-(Datos!U13+Datos!AI13))/(Datos!U13+Datos!AI13))
     ),IF(J_V="SI",(Datos!K13-Datos!U13)/Datos!U13,(Datos!K13+Datos!AA13-(Datos!U13+Datos!AI13))/(Datos!U13+Datos!AI13))," - ")</f>
        <v>4.0658468861562869E-3</v>
      </c>
      <c r="E13" s="854">
        <f>IF(ISNUMBER(
   IF(J_V="SI",(Datos!L13-Datos!V13)/Datos!V13,(Datos!L13+Datos!AB13-(Datos!V13+Datos!AJ13))/(Datos!V13+Datos!AJ13))
     ),IF(J_V="SI",(Datos!L13-Datos!V13)/Datos!V13,(Datos!L13+Datos!AB13-(Datos!V13+Datos!AJ13))/(Datos!V13+Datos!AJ13))," - ")</f>
        <v>-0.18250594423229338</v>
      </c>
      <c r="F13" s="855">
        <f>IF(ISNUMBER((Datos!M13-Datos!W13)/Datos!W13),(Datos!M13-Datos!W13)/Datos!W13," - ")</f>
        <v>-0.17887473460721867</v>
      </c>
      <c r="G13" s="856">
        <f>IF(ISNUMBER((Datos!N13-Datos!X13)/Datos!X13),(Datos!N13-Datos!X13)/Datos!X13," - ")</f>
        <v>-3.3714285714285717E-2</v>
      </c>
      <c r="H13" s="856">
        <f>IF(ISNUMBER(((NºAsuntos!G13/NºAsuntos!E13)-Datos!BD13)/Datos!BD13),((NºAsuntos!G13/NºAsuntos!E13)-Datos!BD13)/Datos!BD13," - ")</f>
        <v>0.37640525093433713</v>
      </c>
      <c r="I13" s="856">
        <f>IF(ISNUMBER(((NºAsuntos!I13/NºAsuntos!G13)-Datos!BE13)/Datos!BE13),((NºAsuntos!I13/NºAsuntos!G13)-Datos!BE13)/Datos!BE13," - ")</f>
        <v>-0.18581629053219231</v>
      </c>
      <c r="J13" s="856">
        <f>IF(ISNUMBER((('Resol  Asuntos'!D13/NºAsuntos!G13)-Datos!BF13)/Datos!BF13),(('Resol  Asuntos'!D13/NºAsuntos!G13)-Datos!BF13)/Datos!BF13," - ")</f>
        <v>-0.11145582183490679</v>
      </c>
      <c r="K13" s="856">
        <f>IF(ISNUMBER((((NºAsuntos!C13+NºAsuntos!E13)/NºAsuntos!G13)-Datos!BG13)/Datos!BG13),(((NºAsuntos!C13+NºAsuntos!E13)/NºAsuntos!G13)-Datos!BG13)/Datos!BG13," - ")</f>
        <v>-0.14398568185718275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-6.3373415664608385E-2</v>
      </c>
      <c r="C15" s="455">
        <f>IF(ISNUMBER(
   IF(D_I="SI",(Datos!J15-Datos!T15)/Datos!T15,(Datos!J15+Datos!AD15-(Datos!T15+Datos!AL15))/(Datos!T15+Datos!AL15))
     ),IF(D_I="SI",(Datos!J15-Datos!T15)/Datos!T15,(Datos!J15+Datos!AD15-(Datos!T15+Datos!AL15))/(Datos!T15+Datos!AL15))," - ")</f>
        <v>2.0485724879495737E-2</v>
      </c>
      <c r="D15" s="455">
        <f>IF(ISNUMBER(
   IF(D_I="SI",(Datos!K15-Datos!U15)/Datos!U15,(Datos!K15+Datos!AE15-(Datos!U15+Datos!AM15))/(Datos!U15+Datos!AM15))
     ),IF(D_I="SI",(Datos!K15-Datos!U15)/Datos!U15,(Datos!K15+Datos!AE15-(Datos!U15+Datos!AM15))/(Datos!U15+Datos!AM15))," - ")</f>
        <v>1.1360381861575179E-2</v>
      </c>
      <c r="E15" s="455">
        <f>IF(ISNUMBER(
   IF(D_I="SI",(Datos!L15-Datos!V15)/Datos!V15,(Datos!L15+Datos!AF15-(Datos!V15+Datos!AN15))/(Datos!V15+Datos!AN15))
     ),IF(D_I="SI",(Datos!L15-Datos!V15)/Datos!V15,(Datos!L15+Datos!AF15-(Datos!V15+Datos!AN15))/(Datos!V15+Datos!AN15))," - ")</f>
        <v>-5.5926673916420694E-3</v>
      </c>
      <c r="F15" s="455">
        <f>IF(ISNUMBER((Datos!M15-Datos!W15)/Datos!W15),(Datos!M15-Datos!W15)/Datos!W15," - ")</f>
        <v>-5.0805452292441142E-2</v>
      </c>
      <c r="G15" s="456">
        <f>IF(ISNUMBER((Datos!N15-Datos!X15)/Datos!X15),(Datos!N15-Datos!X15)/Datos!X15," - ")</f>
        <v>-2.652733118971061E-2</v>
      </c>
      <c r="H15" s="454">
        <f>IF(ISNUMBER(((NºAsuntos!G15/NºAsuntos!E15)-Datos!BD15)/Datos!BD15),((NºAsuntos!G15/NºAsuntos!E15)-Datos!BD15)/Datos!BD15," - ")</f>
        <v>-8.9421564608344415E-3</v>
      </c>
      <c r="I15" s="455">
        <f>IF(ISNUMBER(((NºAsuntos!I15/NºAsuntos!G15)-Datos!BE15)/Datos!BE15),((NºAsuntos!I15/NºAsuntos!G15)-Datos!BE15)/Datos!BE15," - ")</f>
        <v>-1.6762619494756544E-2</v>
      </c>
      <c r="J15" s="460">
        <f>IF(ISNUMBER((('Resol  Asuntos'!D15/NºAsuntos!G15)-Datos!BF15)/Datos!BF15),(('Resol  Asuntos'!D15/NºAsuntos!G15)-Datos!BF15)/Datos!BF15," - ")</f>
        <v>-6.1467539433955228E-2</v>
      </c>
      <c r="K15" s="461">
        <f>IF(ISNUMBER((((NºAsuntos!C15+NºAsuntos!E15)/NºAsuntos!G15)-Datos!BG15)/Datos!BG15),(((NºAsuntos!C15+NºAsuntos!E15)/NºAsuntos!G15)-Datos!BG15)/Datos!BG15," - ")</f>
        <v>-2.1095933539267902E-2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-0.24105011933174225</v>
      </c>
      <c r="C17" s="455">
        <f>IF(ISNUMBER(
   IF(D_I="SI",(Datos!J17-Datos!T17)/Datos!T17,(Datos!J17+Datos!AD17-(Datos!T17+Datos!AL17))/(Datos!T17+Datos!AL17))
     ),IF(D_I="SI",(Datos!J17-Datos!T17)/Datos!T17,(Datos!J17+Datos!AD17-(Datos!T17+Datos!AL17))/(Datos!T17+Datos!AL17))," - ")</f>
        <v>-0.1901452937460518</v>
      </c>
      <c r="D17" s="455">
        <f>IF(ISNUMBER(
   IF(D_I="SI",(Datos!K17-Datos!U17)/Datos!U17,(Datos!K17+Datos!AE17-(Datos!U17+Datos!AM17))/(Datos!U17+Datos!AM17))
     ),IF(D_I="SI",(Datos!K17-Datos!U17)/Datos!U17,(Datos!K17+Datos!AE17-(Datos!U17+Datos!AM17))/(Datos!U17+Datos!AM17))," - ")</f>
        <v>-0.17026683608640406</v>
      </c>
      <c r="E17" s="455">
        <f>IF(ISNUMBER(
   IF(D_I="SI",(Datos!L17-Datos!V17)/Datos!V17,(Datos!L17+Datos!AF17-(Datos!V17+Datos!AN17))/(Datos!V17+Datos!AN17))
     ),IF(D_I="SI",(Datos!L17-Datos!V17)/Datos!V17,(Datos!L17+Datos!AF17-(Datos!V17+Datos!AN17))/(Datos!V17+Datos!AN17))," - ")</f>
        <v>-0.29119638826185101</v>
      </c>
      <c r="F17" s="455">
        <f>IF(ISNUMBER((Datos!M17-Datos!W17)/Datos!W17),(Datos!M17-Datos!W17)/Datos!W17," - ")</f>
        <v>-6.5476190476190479E-2</v>
      </c>
      <c r="G17" s="456">
        <f>IF(ISNUMBER((Datos!N17-Datos!X17)/Datos!X17),(Datos!N17-Datos!X17)/Datos!X17," - ")</f>
        <v>-0.22588235294117648</v>
      </c>
      <c r="H17" s="454">
        <f>IF(ISNUMBER(((NºAsuntos!G17/NºAsuntos!E17)-Datos!BD17)/Datos!BD17),((NºAsuntos!G17/NºAsuntos!E17)-Datos!BD17)/Datos!BD17," - ")</f>
        <v>2.4545708639019025E-2</v>
      </c>
      <c r="I17" s="455">
        <f>IF(ISNUMBER(((NºAsuntos!I17/NºAsuntos!G17)-Datos!BE17)/Datos!BE17),((NºAsuntos!I17/NºAsuntos!G17)-Datos!BE17)/Datos!BE17," - ")</f>
        <v>-0.14574511112109764</v>
      </c>
      <c r="J17" s="460">
        <f>IF(ISNUMBER((('Resol  Asuntos'!D17/NºAsuntos!G17)-Datos!BF17)/Datos!BF17),(('Resol  Asuntos'!D17/NºAsuntos!G17)-Datos!BF17)/Datos!BF17," - ")</f>
        <v>0.1262943921826005</v>
      </c>
      <c r="K17" s="461">
        <f>IF(ISNUMBER((((NºAsuntos!C17+NºAsuntos!E17)/NºAsuntos!G17)-Datos!BG17)/Datos!BG17),(((NºAsuntos!C17+NºAsuntos!E17)/NºAsuntos!G17)-Datos!BG17)/Datos!BG17," - ")</f>
        <v>-3.6797811682957281E-2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-7.4699528373649779E-2</v>
      </c>
      <c r="C18" s="854">
        <f>IF(ISNUMBER(
   IF(Criterios!B14="SI",(Datos!J18-Datos!T18)/Datos!T18,(Datos!J18+Datos!AD18-(Datos!T18+Datos!AL18))/(Datos!T18+Datos!AL18))
     ),IF(Criterios!B14="SI",(Datos!J18-Datos!T18)/Datos!T18,(Datos!J18+Datos!AD18-(Datos!T18+Datos!AL18))/(Datos!T18+Datos!AL18))," - ")</f>
        <v>-6.4667367229811652E-3</v>
      </c>
      <c r="D18" s="854">
        <f>IF(ISNUMBER(
   IF(Criterios!B14="SI",(Datos!K18-Datos!U18)/Datos!U18,(Datos!K18+Datos!AE18-(Datos!U18+Datos!AM18))/(Datos!U18+Datos!AM18))
     ),IF(Criterios!B14="SI",(Datos!K18-Datos!U18)/Datos!U18,(Datos!K18+Datos!AE18-(Datos!U18+Datos!AM18))/(Datos!U18+Datos!AM18))," - ")</f>
        <v>-1.2366171466511743E-2</v>
      </c>
      <c r="E18" s="854">
        <f>IF(ISNUMBER(
   IF(Criterios!B14="SI",(Datos!L18-Datos!V18)/Datos!V18,(Datos!L18+Datos!AF18-(Datos!V18+Datos!AN18))/(Datos!V18+Datos!AN18))
     ),IF(Criterios!B14="SI",(Datos!L18-Datos!V18)/Datos!V18,(Datos!L18+Datos!AF18-(Datos!V18+Datos!AN18))/(Datos!V18+Datos!AN18))," - ")</f>
        <v>-2.3982558139534885E-2</v>
      </c>
      <c r="F18" s="855">
        <f>IF(ISNUMBER((Datos!M18-Datos!W18)/Datos!W18),(Datos!M18-Datos!W18)/Datos!W18," - ")</f>
        <v>-5.3333333333333337E-2</v>
      </c>
      <c r="G18" s="856">
        <f>IF(ISNUMBER((Datos!N18-Datos!X18)/Datos!X18),(Datos!N18-Datos!X18)/Datos!X18," - ")</f>
        <v>-4.6908828482078418E-2</v>
      </c>
      <c r="H18" s="856">
        <f>IF(ISNUMBER(((NºAsuntos!G18/NºAsuntos!E18)-Datos!BD18)/Datos!BD18),((NºAsuntos!G18/NºAsuntos!E18)-Datos!BD18)/Datos!BD18," - ")</f>
        <v>-5.9378331471984644E-3</v>
      </c>
      <c r="I18" s="856">
        <f>IF(ISNUMBER(((NºAsuntos!I18/NºAsuntos!G18)-Datos!BE18)/Datos!BE18),((NºAsuntos!I18/NºAsuntos!G18)-Datos!BE18)/Datos!BE18," - ")</f>
        <v>-1.1761835548172735E-2</v>
      </c>
      <c r="J18" s="856">
        <f>IF(ISNUMBER((('Resol  Asuntos'!D18/NºAsuntos!G18)-Datos!BF18)/Datos!BF18),(('Resol  Asuntos'!D18/NºAsuntos!G18)-Datos!BF18)/Datos!BF18," - ")</f>
        <v>-4.1480112044817934E-2</v>
      </c>
      <c r="K18" s="856">
        <f>IF(ISNUMBER((((NºAsuntos!C18+NºAsuntos!E18)/NºAsuntos!G18)-Datos!BG18)/Datos!BG18),(((NºAsuntos!C18+NºAsuntos!E18)/NºAsuntos!G18)-Datos!BG18)/Datos!BG18," - ")</f>
        <v>-1.7997862785316805E-2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-8.8914245589396992E-2</v>
      </c>
      <c r="C19" s="801">
        <f>IF(ISNUMBER(
   IF(J_V="SI",(Datos!J19-Datos!T19)/Datos!T19,(Datos!J19+Datos!Z19-(Datos!T19+Datos!AH19))/(Datos!T19+Datos!AH19))
     ),IF(J_V="SI",(Datos!J19-Datos!T19)/Datos!T19,(Datos!J19+Datos!Z19-(Datos!T19+Datos!AH19))/(Datos!T19+Datos!AH19))," - ")</f>
        <v>-0.1260229132569558</v>
      </c>
      <c r="D19" s="801">
        <f>IF(ISNUMBER(
   IF(J_V="SI",(Datos!K19-Datos!U19)/Datos!U19,(Datos!K19+Datos!AA19-(Datos!U19+Datos!AI19))/(Datos!U19+Datos!AI19))
     ),IF(J_V="SI",(Datos!K19-Datos!U19)/Datos!U19,(Datos!K19+Datos!AA19-(Datos!U19+Datos!AI19))/(Datos!U19+Datos!AI19))," - ")</f>
        <v>-4.8795915601138572E-3</v>
      </c>
      <c r="E19" s="801">
        <f>IF(ISNUMBER(
   IF(J_V="SI",(Datos!L19-Datos!V19)/Datos!V19,(Datos!L19+Datos!AB19-(Datos!V19+Datos!AJ19))/(Datos!V19+Datos!AJ19))
     ),IF(J_V="SI",(Datos!L19-Datos!V19)/Datos!V19,(Datos!L19+Datos!AB19-(Datos!V19+Datos!AJ19))/(Datos!V19+Datos!AJ19))," - ")</f>
        <v>-0.15101911195796525</v>
      </c>
      <c r="F19" s="802">
        <f>IF(ISNUMBER((Datos!M19-Datos!W19)/Datos!W19),(Datos!M19-Datos!W19)/Datos!W19," - ")</f>
        <v>-0.15306767868437698</v>
      </c>
      <c r="G19" s="803">
        <f>IF(ISNUMBER((Datos!N19-Datos!X19)/Datos!X19),(Datos!N19-Datos!X19)/Datos!X19," - ")</f>
        <v>-4.2999830709327919E-2</v>
      </c>
      <c r="H19" s="804">
        <f>IF(ISNUMBER((Tasas!B19-Datos!BD19)/Datos!BD19),(Tasas!B19-Datos!BD19)/Datos!BD19," - ")</f>
        <v>0.13861155347709816</v>
      </c>
      <c r="I19" s="805">
        <f>IF(ISNUMBER((Tasas!C19-Datos!BE19)/Datos!BE19),(Tasas!C19-Datos!BE19)/Datos!BE19," - ")</f>
        <v>-0.14685611827312806</v>
      </c>
      <c r="J19" s="806">
        <f>IF(ISNUMBER((Tasas!D19-Datos!BF19)/Datos!BF19),(Tasas!D19-Datos!BF19)/Datos!BF19," - ")</f>
        <v>-9.1447797719275817E-2</v>
      </c>
      <c r="K19" s="806">
        <f>IF(ISNUMBER((Tasas!E19-Datos!BG19)/Datos!BG19),(Tasas!E19-Datos!BG19)/Datos!BG19," - ")</f>
        <v>-9.9292443625994861E-2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X8j/cb3neRkGPPfIF5sWJYIGz89pAiBG/XF/1jta9OgohI6+CZwB+y0nrJK3gkflybwDAOhesLAilMYEKaU9Q==" saltValue="jYlZRzkXTiAHP2+7uaQ5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ZARAGOZA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1.3932653691689836</v>
      </c>
      <c r="C9" s="442">
        <f>IF(ISNUMBER(NºAsuntos!I9/NºAsuntos!G9),NºAsuntos!I9/NºAsuntos!G9," - ")</f>
        <v>2.3719512195121952</v>
      </c>
      <c r="D9" s="443">
        <f>IF(ISNUMBER('Resol  Asuntos'!D9/NºAsuntos!G9),'Resol  Asuntos'!D9/NºAsuntos!G9," - ")</f>
        <v>0.29900221729490023</v>
      </c>
      <c r="E9" s="444">
        <f>IF(ISNUMBER((NºAsuntos!C9+NºAsuntos!E9)/NºAsuntos!G9),(NºAsuntos!C9+NºAsuntos!E9)/NºAsuntos!G9," - ")</f>
        <v>3.3395787139689577</v>
      </c>
      <c r="G9" s="462"/>
    </row>
    <row r="10" spans="1:7" ht="21">
      <c r="A10" s="401" t="str">
        <f>Datos!A10</f>
        <v>Jdos. Violencia contra la mujer/Secc Viol. TI.</v>
      </c>
      <c r="B10" s="441">
        <f>IF(ISNUMBER(NºAsuntos!G10/NºAsuntos!E10),NºAsuntos!G10/NºAsuntos!E10," - ")</f>
        <v>1.03</v>
      </c>
      <c r="C10" s="442">
        <f>IF(ISNUMBER(NºAsuntos!I10/NºAsuntos!G10),NºAsuntos!I10/NºAsuntos!G10," - ")</f>
        <v>1.7766990291262137</v>
      </c>
      <c r="D10" s="443">
        <f>IF(ISNUMBER('Resol  Asuntos'!D10/NºAsuntos!G10),'Resol  Asuntos'!D10/NºAsuntos!G10," - ")</f>
        <v>0.42718446601941745</v>
      </c>
      <c r="E10" s="444">
        <f>IF(ISNUMBER((NºAsuntos!C10+NºAsuntos!E10)/NºAsuntos!G10),(NºAsuntos!C10+NºAsuntos!E10)/NºAsuntos!G10," - ")</f>
        <v>2.7766990291262137</v>
      </c>
      <c r="G10" s="462"/>
    </row>
    <row r="11" spans="1:7">
      <c r="A11" s="401" t="str">
        <f>Datos!A11</f>
        <v xml:space="preserve">Jdos. Familia                                   </v>
      </c>
      <c r="B11" s="441">
        <f>IF(ISNUMBER(NºAsuntos!G11/NºAsuntos!E11),NºAsuntos!G11/NºAsuntos!E11," - ")</f>
        <v>1.1220604703247481</v>
      </c>
      <c r="C11" s="442">
        <f>IF(ISNUMBER(NºAsuntos!I11/NºAsuntos!G11),NºAsuntos!I11/NºAsuntos!G11," - ")</f>
        <v>1.1117764471057885</v>
      </c>
      <c r="D11" s="443">
        <f>IF(ISNUMBER('Resol  Asuntos'!D11/NºAsuntos!G11),'Resol  Asuntos'!D11/NºAsuntos!G11," - ")</f>
        <v>0.35229540918163671</v>
      </c>
      <c r="E11" s="444">
        <f>IF(ISNUMBER((NºAsuntos!C11+NºAsuntos!E11)/NºAsuntos!G11),(NºAsuntos!C11+NºAsuntos!E11)/NºAsuntos!G11," - ")</f>
        <v>2.1117764471057883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1.3559662515066291</v>
      </c>
      <c r="C13" s="858">
        <f>IF(ISNUMBER(NºAsuntos!I13/NºAsuntos!G13),NºAsuntos!I13/NºAsuntos!G13," - ")</f>
        <v>2.2411851851851852</v>
      </c>
      <c r="D13" s="859">
        <f>IF(ISNUMBER('Resol  Asuntos'!D13/NºAsuntos!G13),'Resol  Asuntos'!D13/NºAsuntos!G13," - ")</f>
        <v>0.30558024691358027</v>
      </c>
      <c r="E13" s="860">
        <f>IF(ISNUMBER((NºAsuntos!C13+NºAsuntos!E13)/NºAsuntos!G13),(NºAsuntos!C13+NºAsuntos!E13)/NºAsuntos!G13," - ")</f>
        <v>3.2123456790123455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0.96230356980652199</v>
      </c>
      <c r="C15" s="442">
        <f>IF(ISNUMBER(NºAsuntos!I15/NºAsuntos!G15),NºAsuntos!I15/NºAsuntos!G15," - ")</f>
        <v>0.60420993014914104</v>
      </c>
      <c r="D15" s="443">
        <f>IF(ISNUMBER('Resol  Asuntos'!D15/NºAsuntos!G15),'Resol  Asuntos'!D15/NºAsuntos!G15," - ")</f>
        <v>7.2305078346233717E-2</v>
      </c>
      <c r="E15" s="444">
        <f>IF(ISNUMBER((NºAsuntos!C15+NºAsuntos!E15)/NºAsuntos!G15),(NºAsuntos!C15+NºAsuntos!E15)/NºAsuntos!G15," - ")</f>
        <v>1.5832546724561072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1.0187207488299532</v>
      </c>
      <c r="C17" s="442">
        <f>IF(ISNUMBER(NºAsuntos!I17/NºAsuntos!G17),NºAsuntos!I17/NºAsuntos!G17," - ")</f>
        <v>0.24042879019908117</v>
      </c>
      <c r="D17" s="443">
        <f>IF(ISNUMBER('Resol  Asuntos'!D17/NºAsuntos!G17),'Resol  Asuntos'!D17/NºAsuntos!G17," - ")</f>
        <v>0.12021439509954059</v>
      </c>
      <c r="E17" s="444">
        <f>IF(ISNUMBER((NºAsuntos!C17+NºAsuntos!E17)/NºAsuntos!G17),(NºAsuntos!C17+NºAsuntos!E17)/NºAsuntos!G17," - ")</f>
        <v>1.2251148545176109</v>
      </c>
      <c r="G17" s="462"/>
    </row>
    <row r="18" spans="1:7" ht="14.25" thickTop="1" thickBot="1">
      <c r="A18" s="847" t="str">
        <f>Datos!A18</f>
        <v>TOTAL</v>
      </c>
      <c r="B18" s="857">
        <f>IF(ISNUMBER(NºAsuntos!G18/NºAsuntos!E18),NºAsuntos!G18/NºAsuntos!E18," - ")</f>
        <v>0.9681881051175657</v>
      </c>
      <c r="C18" s="858">
        <f>IF(ISNUMBER(NºAsuntos!I18/NºAsuntos!G18),NºAsuntos!I18/NºAsuntos!G18," - ")</f>
        <v>0.56428571428571428</v>
      </c>
      <c r="D18" s="861">
        <f>IF(ISNUMBER('Resol  Asuntos'!D18/NºAsuntos!G18),'Resol  Asuntos'!D18/NºAsuntos!G18," - ")</f>
        <v>7.7563025210084027E-2</v>
      </c>
      <c r="E18" s="860">
        <f>IF(ISNUMBER((NºAsuntos!C18+NºAsuntos!E18)/NºAsuntos!G18),(NºAsuntos!C18+NºAsuntos!E18)/NºAsuntos!G18," - ")</f>
        <v>1.5439495798319327</v>
      </c>
      <c r="G18" s="462"/>
    </row>
    <row r="19" spans="1:7" ht="15.75" customHeight="1" thickTop="1" thickBot="1">
      <c r="A19" s="792" t="str">
        <f>Datos!A19</f>
        <v>TOTAL JURISDICCIONES</v>
      </c>
      <c r="B19" s="807">
        <f>IF(ISNUMBER(NºAsuntos!G19/NºAsuntos!E19),NºAsuntos!G19/NºAsuntos!E19," - ")</f>
        <v>1.1147383338394574</v>
      </c>
      <c r="C19" s="808">
        <f>IF(ISNUMBER(NºAsuntos!I19/NºAsuntos!G19),NºAsuntos!I19/NºAsuntos!G19," - ")</f>
        <v>1.3351645856980703</v>
      </c>
      <c r="D19" s="809">
        <f>IF(ISNUMBER('Resol  Asuntos'!D19/NºAsuntos!G19),'Resol  Asuntos'!D19/NºAsuntos!G19," - ")</f>
        <v>0.18238365493757094</v>
      </c>
      <c r="E19" s="810">
        <f>IF(ISNUMBER((NºAsuntos!C19+NºAsuntos!E19)/NºAsuntos!G19),(NºAsuntos!C19+NºAsuntos!E19)/NºAsuntos!G19," - ")</f>
        <v>2.3109194097616346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xQ1aMPoAQvIMxjH3Q8kCHIhow6dzjLTqQuiTowkB9QAabTBBmonDbSqwyV5GE1C6AWy54aMacif9174xcTAgw==" saltValue="lzgAZ2qZOFTZZ7vMPJVC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ZARAGOZA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19</v>
      </c>
      <c r="B9" s="176" t="s">
        <v>246</v>
      </c>
      <c r="C9" s="159" t="str">
        <f>Datos!A9</f>
        <v xml:space="preserve">Jdos. 1ª Instancia   </v>
      </c>
      <c r="D9" s="159"/>
      <c r="E9" s="1024">
        <f>IF(ISNUMBER(Datos!AQ9),Datos!AQ9," - ")</f>
        <v>19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2702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4861</v>
      </c>
      <c r="Y9" s="333">
        <f>SUM(W9:X9)</f>
        <v>4861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38379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2697</v>
      </c>
      <c r="AJ9" s="228" t="str">
        <f>IF(ISNUMBER(Datos!BW9),Datos!BW9," - ")</f>
        <v xml:space="preserve"> - </v>
      </c>
      <c r="AK9" s="227" t="str">
        <f>IF(ISNUMBER(Datos!BX9),Datos!BX9," - ")</f>
        <v xml:space="preserve"> - </v>
      </c>
      <c r="AL9" s="242">
        <f>IF(ISNUMBER(NºAsuntos!G9/NºAsuntos!E9),NºAsuntos!G9/NºAsuntos!E9," - ")</f>
        <v>1.3932653691689836</v>
      </c>
      <c r="AM9" s="259">
        <f>IF(ISNUMBER(((NºAsuntos!I9/NºAsuntos!G9)*11)/factor_trimestre),((NºAsuntos!I9/NºAsuntos!G9)*11)/factor_trimestre," - ")</f>
        <v>4.7439024390243905</v>
      </c>
      <c r="AN9" s="243">
        <f>IF(ISNUMBER('Resol  Asuntos'!D9/NºAsuntos!G9),'Resol  Asuntos'!D9/NºAsuntos!G9," - ")</f>
        <v>0.29900221729490023</v>
      </c>
      <c r="AO9" s="244">
        <f>IF(ISNUMBER((NºAsuntos!C9+NºAsuntos!E9)/NºAsuntos!G9),(NºAsuntos!C9+NºAsuntos!E9)/NºAsuntos!G9," - ")</f>
        <v>3.3395787139689577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186</v>
      </c>
      <c r="G10" s="332">
        <f>IF(ISNUMBER(Datos!I10),Datos!I10," - ")</f>
        <v>186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103</v>
      </c>
      <c r="X10" s="225">
        <f>IF(ISNUMBER(Datos!Q10),Datos!Q10," - ")</f>
        <v>95</v>
      </c>
      <c r="Y10" s="333">
        <f t="shared" ref="Y10:Y12" si="0">SUM(W10:X10)</f>
        <v>198</v>
      </c>
      <c r="Z10" s="334" t="str">
        <f>IF(ISNUMBER(Datos!CC10),Datos!CC10," - ")</f>
        <v xml:space="preserve"> - </v>
      </c>
      <c r="AA10" s="331">
        <f>IF(ISNUMBER(Datos!L10),Datos!L10,"-")</f>
        <v>183</v>
      </c>
      <c r="AB10" s="333">
        <f>IF(ISNUMBER(Datos!R10),Datos!R10," - ")</f>
        <v>281</v>
      </c>
      <c r="AC10" s="333">
        <f t="shared" ref="AC10:AC12" si="1">IF(ISNUMBER(AA10+AB10),AA10+AB10," - ")</f>
        <v>464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44</v>
      </c>
      <c r="AJ10" s="230" t="str">
        <f>IF(ISNUMBER(Datos!BW10),Datos!BW10," - ")</f>
        <v xml:space="preserve"> - </v>
      </c>
      <c r="AK10" s="231" t="str">
        <f>IF(ISNUMBER(Datos!BX10),Datos!BX10," - ")</f>
        <v xml:space="preserve"> - </v>
      </c>
      <c r="AL10" s="242">
        <f>IF(ISNUMBER(NºAsuntos!G10/NºAsuntos!E10),NºAsuntos!G10/NºAsuntos!E10," - ")</f>
        <v>1.03</v>
      </c>
      <c r="AM10" s="259">
        <f>IF(ISNUMBER(((NºAsuntos!I10/NºAsuntos!G10)*11)/factor_trimestre),((NºAsuntos!I10/NºAsuntos!G10)*11)/factor_trimestre," - ")</f>
        <v>3.5533980582524269</v>
      </c>
      <c r="AN10" s="243">
        <f>IF(ISNUMBER('Resol  Asuntos'!D10/NºAsuntos!G10),'Resol  Asuntos'!D10/NºAsuntos!G10," - ")</f>
        <v>0.42718446601941745</v>
      </c>
      <c r="AO10" s="244">
        <f>IF(ISNUMBER((NºAsuntos!C10+NºAsuntos!E10)/NºAsuntos!G10),(NºAsuntos!C10+NºAsuntos!E10)/NºAsuntos!G10," - ")</f>
        <v>2.7766990291262137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142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256</v>
      </c>
      <c r="Y11" s="333">
        <f t="shared" si="0"/>
        <v>256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1311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353</v>
      </c>
      <c r="AJ11" s="230" t="str">
        <f>IF(ISNUMBER(Datos!BW11),Datos!BW11," - ")</f>
        <v xml:space="preserve"> - </v>
      </c>
      <c r="AK11" s="231" t="str">
        <f>IF(ISNUMBER(Datos!BX11),Datos!BX11," - ")</f>
        <v xml:space="preserve"> - </v>
      </c>
      <c r="AL11" s="242">
        <f>IF(ISNUMBER(NºAsuntos!G11/NºAsuntos!E11),NºAsuntos!G11/NºAsuntos!E11," - ")</f>
        <v>1.1220604703247481</v>
      </c>
      <c r="AM11" s="259">
        <f>IF(ISNUMBER(((NºAsuntos!I11/NºAsuntos!G11)*11)/factor_trimestre),((NºAsuntos!I11/NºAsuntos!G11)*11)/factor_trimestre," - ")</f>
        <v>2.223552894211577</v>
      </c>
      <c r="AN11" s="243">
        <f>IF(ISNUMBER('Resol  Asuntos'!D11/NºAsuntos!G11),'Resol  Asuntos'!D11/NºAsuntos!G11," - ")</f>
        <v>0.35229540918163671</v>
      </c>
      <c r="AO11" s="244">
        <f>IF(ISNUMBER((NºAsuntos!C11+NºAsuntos!E11)/NºAsuntos!G11),(NºAsuntos!C11+NºAsuntos!E11)/NºAsuntos!G11," - ")</f>
        <v>2.1117764471057883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26</v>
      </c>
      <c r="F13" s="864">
        <f t="shared" si="3"/>
        <v>186</v>
      </c>
      <c r="G13" s="865">
        <f t="shared" si="3"/>
        <v>186</v>
      </c>
      <c r="H13" s="864">
        <f t="shared" si="3"/>
        <v>0</v>
      </c>
      <c r="I13" s="866">
        <f t="shared" si="3"/>
        <v>0</v>
      </c>
      <c r="J13" s="866">
        <f t="shared" si="3"/>
        <v>0</v>
      </c>
      <c r="K13" s="866">
        <f t="shared" si="3"/>
        <v>0</v>
      </c>
      <c r="L13" s="866">
        <f t="shared" si="3"/>
        <v>2862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103</v>
      </c>
      <c r="X13" s="866">
        <f t="shared" si="4"/>
        <v>5212</v>
      </c>
      <c r="Y13" s="867">
        <f t="shared" si="4"/>
        <v>5315</v>
      </c>
      <c r="Z13" s="867">
        <f t="shared" si="4"/>
        <v>0</v>
      </c>
      <c r="AA13" s="867">
        <f t="shared" si="4"/>
        <v>183</v>
      </c>
      <c r="AB13" s="867">
        <f t="shared" si="4"/>
        <v>39971</v>
      </c>
      <c r="AC13" s="867">
        <f t="shared" si="4"/>
        <v>464</v>
      </c>
      <c r="AD13" s="867">
        <f t="shared" si="4"/>
        <v>0</v>
      </c>
      <c r="AE13" s="871">
        <f t="shared" si="4"/>
        <v>0</v>
      </c>
      <c r="AF13" s="864">
        <f t="shared" si="4"/>
        <v>0</v>
      </c>
      <c r="AG13" s="872">
        <f t="shared" si="4"/>
        <v>0</v>
      </c>
      <c r="AH13" s="869">
        <f t="shared" si="4"/>
        <v>0</v>
      </c>
      <c r="AI13" s="864">
        <f t="shared" si="4"/>
        <v>3094</v>
      </c>
      <c r="AJ13" s="866">
        <f t="shared" si="4"/>
        <v>0</v>
      </c>
      <c r="AK13" s="869">
        <f>SUBTOTAL(9,AK9:AK12)</f>
        <v>0</v>
      </c>
      <c r="AL13" s="873">
        <f>IF(ISNUMBER(NºAsuntos!G13/NºAsuntos!E13),NºAsuntos!G13/NºAsuntos!E13," - ")</f>
        <v>1.3559662515066291</v>
      </c>
      <c r="AM13" s="873">
        <f>IF(ISNUMBER(((NºAsuntos!I13/NºAsuntos!G13)*11)/factor_trimestre),((NºAsuntos!I13/NºAsuntos!G13)*11)/factor_trimestre," - ")</f>
        <v>4.4823703703703703</v>
      </c>
      <c r="AN13" s="874">
        <f>IF(ISNUMBER('Resol  Asuntos'!D13/NºAsuntos!G13),'Resol  Asuntos'!D13/NºAsuntos!G13," - ")</f>
        <v>0.30558024691358027</v>
      </c>
      <c r="AO13" s="875">
        <f>IF(ISNUMBER((NºAsuntos!C13+NºAsuntos!E13)/NºAsuntos!G13),(NºAsuntos!C13+NºAsuntos!E13)/NºAsuntos!G13," - ")</f>
        <v>3.2123456790123455</v>
      </c>
      <c r="AP13" s="876" t="str">
        <f t="shared" si="2"/>
        <v xml:space="preserve"> - </v>
      </c>
      <c r="AQ13" s="876">
        <f>IF(ISNUMBER((H13-W13+K13)/(F13)),(H13-W13+K13)/(F13)," - ")</f>
        <v>-0.55376344086021501</v>
      </c>
      <c r="AR13" s="877">
        <f>IF(ISNUMBER((Datos!P13-Datos!Q13)/(Datos!R13-Datos!P13+Datos!Q13)),(Datos!P13-Datos!Q13)/(Datos!R13-Datos!P13+Datos!Q13)," - ")</f>
        <v>-5.5527988469081545E-2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5986</v>
      </c>
      <c r="G15" s="332">
        <f>IF(ISNUMBER(IF(D_I="SI",Datos!I15,Datos!I15+Datos!AC15)),IF(D_I="SI",Datos!I15,Datos!I15+Datos!AC15)," - ")</f>
        <v>5764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381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10594</v>
      </c>
      <c r="X15" s="225">
        <f>IF(ISNUMBER(Datos!Q15),Datos!Q15," - ")</f>
        <v>448</v>
      </c>
      <c r="Y15" s="333">
        <f>SUM(W15)</f>
        <v>10594</v>
      </c>
      <c r="Z15" s="334" t="str">
        <f>IF(ISNUMBER(Datos!CC15),Datos!CC15," - ")</f>
        <v xml:space="preserve"> - </v>
      </c>
      <c r="AA15" s="331">
        <f>IF(ISNUMBER(IF(D_I="SI",Datos!L15,Datos!L15+Datos!AF15)),IF(D_I="SI",Datos!L15,Datos!L15+Datos!AF15)," - ")</f>
        <v>6401</v>
      </c>
      <c r="AB15" s="333">
        <f>IF(ISNUMBER(Datos!R15),Datos!R15," - ")</f>
        <v>1130</v>
      </c>
      <c r="AC15" s="333">
        <f t="shared" ref="AC15:AC17" si="6">IF(ISNUMBER(AA15+AB15),AA15+AB15," - ")</f>
        <v>7531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766</v>
      </c>
      <c r="AJ15" s="230" t="str">
        <f>IF(ISNUMBER(Datos!BW15),Datos!BW15," - ")</f>
        <v xml:space="preserve"> - </v>
      </c>
      <c r="AK15" s="231" t="str">
        <f>IF(ISNUMBER(Datos!BX15),Datos!BX15," - ")</f>
        <v xml:space="preserve"> - </v>
      </c>
      <c r="AL15" s="242">
        <f>IF(ISNUMBER(NºAsuntos!G15/NºAsuntos!E15),NºAsuntos!G15/NºAsuntos!E15," - ")</f>
        <v>0.96230356980652199</v>
      </c>
      <c r="AM15" s="259">
        <f>IF(ISNUMBER(((NºAsuntos!I15/NºAsuntos!G15)*11)/factor_trimestre),((NºAsuntos!I15/NºAsuntos!G15)*11)/factor_trimestre," - ")</f>
        <v>1.2084198602982821</v>
      </c>
      <c r="AN15" s="243">
        <f>IF(ISNUMBER('Resol  Asuntos'!D15/NºAsuntos!G15),'Resol  Asuntos'!D15/NºAsuntos!G15," - ")</f>
        <v>7.2305078346233717E-2</v>
      </c>
      <c r="AO15" s="244">
        <f>IF(ISNUMBER((NºAsuntos!C15+NºAsuntos!E15)/NºAsuntos!G15),(NºAsuntos!C15+NºAsuntos!E15)/NºAsuntos!G15," - ")</f>
        <v>1.5832546724561072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318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1306</v>
      </c>
      <c r="X17" s="225">
        <f>IF(ISNUMBER(Datos!Q17),Datos!Q17," - ")</f>
        <v>16</v>
      </c>
      <c r="Y17" s="333">
        <f t="shared" si="7"/>
        <v>1322</v>
      </c>
      <c r="Z17" s="334" t="str">
        <f>IF(ISNUMBER(Datos!CC17),Datos!CC17," - ")</f>
        <v xml:space="preserve"> - </v>
      </c>
      <c r="AA17" s="331">
        <f>IF(ISNUMBER(Datos!L17),Datos!L17,"-")</f>
        <v>314</v>
      </c>
      <c r="AB17" s="333">
        <f>IF(ISNUMBER(Datos!R17),Datos!R17," - ")</f>
        <v>61</v>
      </c>
      <c r="AC17" s="333">
        <f t="shared" si="6"/>
        <v>375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157</v>
      </c>
      <c r="AJ17" s="230" t="str">
        <f>IF(ISNUMBER(Datos!BW17),Datos!BW17," - ")</f>
        <v xml:space="preserve"> - </v>
      </c>
      <c r="AK17" s="231" t="str">
        <f>IF(ISNUMBER(Datos!BX17),Datos!BX17," - ")</f>
        <v xml:space="preserve"> - </v>
      </c>
      <c r="AL17" s="242">
        <f>IF(ISNUMBER(NºAsuntos!G17/NºAsuntos!E17),NºAsuntos!G17/NºAsuntos!E17," - ")</f>
        <v>1.0187207488299532</v>
      </c>
      <c r="AM17" s="259">
        <f>IF(ISNUMBER(((NºAsuntos!I17/NºAsuntos!G17)*11)/factor_trimestre),((NºAsuntos!I17/NºAsuntos!G17)*11)/factor_trimestre," - ")</f>
        <v>0.48085758039816234</v>
      </c>
      <c r="AN17" s="243">
        <f>IF(ISNUMBER('Resol  Asuntos'!D17/NºAsuntos!G17),'Resol  Asuntos'!D17/NºAsuntos!G17," - ")</f>
        <v>0.12021439509954059</v>
      </c>
      <c r="AO17" s="244">
        <f>IF(ISNUMBER((NºAsuntos!C17+NºAsuntos!E17)/NºAsuntos!G17),(NºAsuntos!C17+NºAsuntos!E17)/NºAsuntos!G17," - ")</f>
        <v>1.2251148545176109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5986</v>
      </c>
      <c r="G18" s="865">
        <f>SUBTOTAL(9,G15:G17)</f>
        <v>6082</v>
      </c>
      <c r="H18" s="864">
        <f t="shared" ref="H18:O18" si="10">SUBTOTAL(9,H14:H17)</f>
        <v>0</v>
      </c>
      <c r="I18" s="866">
        <f t="shared" si="10"/>
        <v>0</v>
      </c>
      <c r="J18" s="866">
        <f t="shared" si="10"/>
        <v>0</v>
      </c>
      <c r="K18" s="866">
        <f t="shared" si="10"/>
        <v>0</v>
      </c>
      <c r="L18" s="866">
        <f t="shared" si="10"/>
        <v>419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11900</v>
      </c>
      <c r="X18" s="866">
        <f t="shared" si="11"/>
        <v>464</v>
      </c>
      <c r="Y18" s="867">
        <f t="shared" si="11"/>
        <v>11916</v>
      </c>
      <c r="Z18" s="867">
        <f t="shared" si="11"/>
        <v>0</v>
      </c>
      <c r="AA18" s="867">
        <f t="shared" si="11"/>
        <v>6715</v>
      </c>
      <c r="AB18" s="867">
        <f t="shared" si="11"/>
        <v>1191</v>
      </c>
      <c r="AC18" s="867">
        <f t="shared" si="11"/>
        <v>7906</v>
      </c>
      <c r="AD18" s="867">
        <f t="shared" si="11"/>
        <v>0</v>
      </c>
      <c r="AE18" s="871">
        <f t="shared" si="11"/>
        <v>0</v>
      </c>
      <c r="AF18" s="864">
        <f t="shared" si="11"/>
        <v>0</v>
      </c>
      <c r="AG18" s="872">
        <f t="shared" si="11"/>
        <v>0</v>
      </c>
      <c r="AH18" s="869">
        <f t="shared" si="11"/>
        <v>0</v>
      </c>
      <c r="AI18" s="864">
        <f t="shared" si="11"/>
        <v>923</v>
      </c>
      <c r="AJ18" s="866">
        <f t="shared" si="11"/>
        <v>0</v>
      </c>
      <c r="AK18" s="869">
        <f t="shared" si="11"/>
        <v>0</v>
      </c>
      <c r="AL18" s="873">
        <f>IF(ISNUMBER(NºAsuntos!G18/NºAsuntos!E18),NºAsuntos!G18/NºAsuntos!E18," - ")</f>
        <v>0.9681881051175657</v>
      </c>
      <c r="AM18" s="873">
        <f>IF(ISNUMBER(((NºAsuntos!I18/NºAsuntos!G18)*11)/factor_trimestre),((NºAsuntos!I18/NºAsuntos!G18)*11)/factor_trimestre," - ")</f>
        <v>1.1285714285714286</v>
      </c>
      <c r="AN18" s="874">
        <f>IF(ISNUMBER('Resol  Asuntos'!D18/NºAsuntos!G18),'Resol  Asuntos'!D18/NºAsuntos!G18," - ")</f>
        <v>7.7563025210084027E-2</v>
      </c>
      <c r="AO18" s="875">
        <f>IF(ISNUMBER((NºAsuntos!C18+NºAsuntos!E18)/NºAsuntos!G18),(NºAsuntos!C18+NºAsuntos!E18)/NºAsuntos!G18," - ")</f>
        <v>1.5439495798319327</v>
      </c>
      <c r="AP18" s="876" t="str">
        <f t="shared" si="2"/>
        <v xml:space="preserve"> - </v>
      </c>
      <c r="AQ18" s="876">
        <f>IF(ISNUMBER((H18-W18+K18)/(F18)),(H18-W18+K18)/(F18)," - ")</f>
        <v>-1.9879719345138658</v>
      </c>
      <c r="AR18" s="877">
        <f>IF(ISNUMBER((Datos!P18-Datos!Q18)/(Datos!R18-Datos!P18+Datos!Q18)),(Datos!P18-Datos!Q18)/(Datos!R18-Datos!P18+Datos!Q18)," - ")</f>
        <v>-3.640776699029126E-2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41</v>
      </c>
      <c r="F19" s="819">
        <f t="shared" si="13"/>
        <v>6172</v>
      </c>
      <c r="G19" s="820">
        <f t="shared" si="13"/>
        <v>6268</v>
      </c>
      <c r="H19" s="819">
        <f t="shared" si="13"/>
        <v>0</v>
      </c>
      <c r="I19" s="821">
        <f t="shared" si="13"/>
        <v>0</v>
      </c>
      <c r="J19" s="821">
        <f t="shared" si="13"/>
        <v>0</v>
      </c>
      <c r="K19" s="880">
        <f t="shared" si="13"/>
        <v>0</v>
      </c>
      <c r="L19" s="821">
        <f t="shared" si="13"/>
        <v>3281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12003</v>
      </c>
      <c r="X19" s="820">
        <f t="shared" si="14"/>
        <v>5676</v>
      </c>
      <c r="Y19" s="827">
        <f t="shared" si="14"/>
        <v>17231</v>
      </c>
      <c r="Z19" s="827">
        <f t="shared" si="14"/>
        <v>0</v>
      </c>
      <c r="AA19" s="827">
        <f t="shared" si="14"/>
        <v>6898</v>
      </c>
      <c r="AB19" s="827">
        <f t="shared" si="14"/>
        <v>41162</v>
      </c>
      <c r="AC19" s="827">
        <f t="shared" si="14"/>
        <v>8370</v>
      </c>
      <c r="AD19" s="827">
        <f t="shared" si="14"/>
        <v>0</v>
      </c>
      <c r="AE19" s="829">
        <f t="shared" si="14"/>
        <v>0</v>
      </c>
      <c r="AF19" s="830">
        <f t="shared" si="14"/>
        <v>0</v>
      </c>
      <c r="AG19" s="831">
        <f t="shared" si="14"/>
        <v>0</v>
      </c>
      <c r="AH19" s="829">
        <f t="shared" si="14"/>
        <v>0</v>
      </c>
      <c r="AI19" s="819">
        <f t="shared" si="14"/>
        <v>4017</v>
      </c>
      <c r="AJ19" s="819">
        <f t="shared" si="14"/>
        <v>0</v>
      </c>
      <c r="AK19" s="829">
        <f t="shared" si="14"/>
        <v>0</v>
      </c>
      <c r="AL19" s="883">
        <f>IF(ISNUMBER(NºAsuntos!G19/NºAsuntos!E19),NºAsuntos!G19/NºAsuntos!E19," - ")</f>
        <v>1.1147383338394574</v>
      </c>
      <c r="AM19" s="884">
        <f>IF(ISNUMBER(((NºAsuntos!I19/NºAsuntos!G19)*11)/factor_trimestre),((NºAsuntos!I19/NºAsuntos!G19)*11)/factor_trimestre," - ")</f>
        <v>2.6703291713961406</v>
      </c>
      <c r="AN19" s="884">
        <f>IF(ISNUMBER('Resol  Asuntos'!D19/NºAsuntos!G19),'Resol  Asuntos'!D19/NºAsuntos!G19," - ")</f>
        <v>0.18238365493757094</v>
      </c>
      <c r="AO19" s="885">
        <f>IF(ISNUMBER((NºAsuntos!C19+NºAsuntos!E19)/NºAsuntos!G19),(NºAsuntos!C19+NºAsuntos!E19)/NºAsuntos!G19," - ")</f>
        <v>2.3109194097616346</v>
      </c>
      <c r="AP19" s="886" t="str">
        <f t="shared" si="2"/>
        <v xml:space="preserve"> - </v>
      </c>
      <c r="AQ19" s="887">
        <f>IF(OR(ISNUMBER(FIND("01",Criterios!A8,1)),ISNUMBER(FIND("02",Criterios!A8,1)),ISNUMBER(FIND("03",Criterios!A8,1)),ISNUMBER(FIND("04",Criterios!A8,1))),(I19-W19+K19)/(F19-K19),(H19-W19+K19)/(F19-K19))</f>
        <v>-1.9447504860661049</v>
      </c>
      <c r="AR19" s="888">
        <f>IF(ISNUMBER((Datos!P19-Datos!Q19)/(Datos!R19-Datos!P19+Datos!Q19)),(Datos!P19-Datos!Q19)/(Datos!R19-Datos!P19+Datos!Q19)," - ")</f>
        <v>-5.4985421401841268E-2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2507.1999999999998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9.3065090722091455</v>
      </c>
      <c r="F21" s="251">
        <f>IF(ISNUMBER(STDEV(F8:F18)),STDEV(F8:F18),"-")</f>
        <v>3348.6315612998296</v>
      </c>
      <c r="G21" s="252">
        <f>IF(ISNUMBER(STDEV(G8:G18)),STDEV(G8:G18),"-")</f>
        <v>3120.6760805953572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5922.6700650973289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1239.3403775511276</v>
      </c>
      <c r="AJ21" s="251">
        <f t="shared" si="18"/>
        <v>0</v>
      </c>
      <c r="AK21" s="253">
        <f t="shared" si="18"/>
        <v>0</v>
      </c>
      <c r="AL21" s="248">
        <f t="shared" si="18"/>
        <v>0.18102256676496728</v>
      </c>
      <c r="AM21" s="249">
        <f t="shared" si="18"/>
        <v>1.7205699541201538</v>
      </c>
      <c r="AN21" s="249">
        <f t="shared" si="18"/>
        <v>0.14386959596362162</v>
      </c>
      <c r="AO21" s="250">
        <f t="shared" si="18"/>
        <v>0.8566401408212857</v>
      </c>
      <c r="AP21" s="290" t="str">
        <f t="shared" si="18"/>
        <v>-</v>
      </c>
      <c r="AQ21" s="291">
        <f t="shared" si="18"/>
        <v>1.01413855149784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9G+2YbDiuRcZA/HtQEXu3xEzpNkn1pFgBSF4D+LWsgYPneGH6Vu3GMR3XfBCdaqf/Q94Is+CZuoKywi65QwUw==" saltValue="8zcGFrLmbepUVYt8kSCe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ZARAGOZA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-0.21438974657733761</v>
      </c>
      <c r="I9" s="349">
        <f>IF(ISNUMBER((Tasas!C9-Datos!BE9)/Datos!BE9),(Tasas!C9-Datos!BE9)/Datos!BE9," - ")</f>
        <v>-0.17465390077804666</v>
      </c>
      <c r="J9" s="348">
        <f>IF(ISNUMBER((Tasas!D9-Datos!BF9)/Datos!BF9),(Tasas!D9-Datos!BF9)/Datos!BF9," - ")</f>
        <v>-9.7136398971740562E-2</v>
      </c>
      <c r="K9" s="350">
        <f>IF(ISNUMBER((Tasas!E9-Datos!BG9)/Datos!BG9),(Tasas!E9-Datos!BG9)/Datos!BG9," - ")</f>
        <v>-0.13792556967764111</v>
      </c>
      <c r="M9" t="e">
        <f>IF(Monitorios="SI",Datos!CE9,0)</f>
        <v>#REF!</v>
      </c>
      <c r="N9" t="e">
        <f>IF(Monitorios="SI",Datos!CF9,0)</f>
        <v>#REF!</v>
      </c>
      <c r="O9" t="e">
        <f>IF(Monitorios="SI",Datos!CG9,0)</f>
        <v>#REF!</v>
      </c>
      <c r="P9" t="e">
        <f>IF(Monitorios="SI",Datos!CH9,0)</f>
        <v>#REF!</v>
      </c>
      <c r="Q9">
        <f>IF(J_V="SI",0,Datos!AG9)</f>
        <v>354</v>
      </c>
      <c r="R9">
        <f>IF(J_V="SI",0,Datos!AH9)</f>
        <v>339</v>
      </c>
      <c r="S9">
        <f>IF(J_V="SI",0,Datos!AI9)</f>
        <v>361</v>
      </c>
      <c r="T9">
        <f>IF(J_V="SI",0,Datos!AJ9)</f>
        <v>332</v>
      </c>
    </row>
    <row r="10" spans="2:20" ht="14.25">
      <c r="B10" s="274" t="s">
        <v>246</v>
      </c>
      <c r="C10" s="7" t="str">
        <f>Datos!A10</f>
        <v>Jdos. Violencia contra la mujer/Secc Viol. TI.</v>
      </c>
      <c r="D10" s="351">
        <f>IF(ISNUMBER((Datos!I10-Datos!S10)/Datos!S10),(Datos!I10-Datos!S10)/Datos!S10," - ")</f>
        <v>0.16250000000000001</v>
      </c>
      <c r="E10" s="347">
        <f>IF(ISNUMBER((Datos!J10-Datos!T10)/Datos!T10),(Datos!J10-Datos!T10)/Datos!T10," - ")</f>
        <v>-0.17355371900826447</v>
      </c>
      <c r="F10" s="347">
        <f>IF(ISNUMBER((Datos!K10-Datos!U10)/Datos!U10),(Datos!K10-Datos!U10)/Datos!U10," - ")</f>
        <v>-1.9047619047619049E-2</v>
      </c>
      <c r="G10" s="348">
        <f>IF(ISNUMBER((Datos!L10-Datos!V10)/Datos!V10),(Datos!L10-Datos!V10)/Datos!V10," - ")</f>
        <v>3.9772727272727272E-2</v>
      </c>
      <c r="H10" s="229">
        <f>IF(ISNUMBER((Datos!M10-Datos!W10)/Datos!W10),(Datos!M10-Datos!W10)/Datos!W10," - ")</f>
        <v>0.51724137931034486</v>
      </c>
      <c r="I10" s="349">
        <f>IF(ISNUMBER((Tasas!C10-Datos!BE10)/Datos!BE10),(Tasas!C10-Datos!BE10)/Datos!BE10," - ")</f>
        <v>5.9962488967343373E-2</v>
      </c>
      <c r="J10" s="348">
        <f>IF(ISNUMBER((Tasas!D10-Datos!BF10)/Datos!BF10),(Tasas!D10-Datos!BF10)/Datos!BF10," - ")</f>
        <v>0.5467023769668562</v>
      </c>
      <c r="K10" s="350">
        <f>IF(ISNUMBER((Tasas!E10-Datos!BG10)/Datos!BG10),(Tasas!E10-Datos!BG10)/Datos!BG10," - ")</f>
        <v>3.7556576719759635E-2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0.15359477124183007</v>
      </c>
      <c r="I11" s="349">
        <f>IF(ISNUMBER((Tasas!C11-Datos!BE11)/Datos!BE11),(Tasas!C11-Datos!BE11)/Datos!BE11," - ")</f>
        <v>-0.31938339387706577</v>
      </c>
      <c r="J11" s="348">
        <f>IF(ISNUMBER((Tasas!D11-Datos!BF11)/Datos!BF11),(Tasas!D11-Datos!BF11)/Datos!BF11," - ")</f>
        <v>-0.27065774773637741</v>
      </c>
      <c r="K11" s="350">
        <f>IF(ISNUMBER((Tasas!E11-Datos!BG11)/Datos!BG11),(Tasas!E11-Datos!BG11)/Datos!BG11," - ")</f>
        <v>-0.19810550719866116</v>
      </c>
      <c r="M11" t="e">
        <f>IF(Monitorios="SI",Datos!CE11,0)</f>
        <v>#REF!</v>
      </c>
      <c r="N11" t="e">
        <f>IF(Monitorios="SI",Datos!CF11,0)</f>
        <v>#REF!</v>
      </c>
      <c r="O11" t="e">
        <f>IF(Monitorios="SI",Datos!CG11,0)</f>
        <v>#REF!</v>
      </c>
      <c r="P11" t="e">
        <f>IF(Monitorios="SI",Datos!CH11,0)</f>
        <v>#REF!</v>
      </c>
      <c r="Q11">
        <f>IF(J_V="SI",0,Datos!AG11)</f>
        <v>104</v>
      </c>
      <c r="R11">
        <f>IF(J_V="SI",0,Datos!AH11)</f>
        <v>153</v>
      </c>
      <c r="S11">
        <f>IF(J_V="SI",0,Datos!AI11)</f>
        <v>157</v>
      </c>
      <c r="T11">
        <f>IF(J_V="SI",0,Datos!AJ11)</f>
        <v>100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-0.17887473460721867</v>
      </c>
      <c r="I13" s="356">
        <f>IF(ISNUMBER((Tasas!C13-Datos!BE13)/Datos!BE13),(Tasas!C13-Datos!BE13)/Datos!BE13," - ")</f>
        <v>-0.18581629053219231</v>
      </c>
      <c r="J13" s="354">
        <f>IF(ISNUMBER((Tasas!D13-Datos!BF13)/Datos!BF13),(Tasas!D13-Datos!BF13)/Datos!BF13," - ")</f>
        <v>-0.11145582183490679</v>
      </c>
      <c r="K13" s="357">
        <f>IF(ISNUMBER((Tasas!E13-Datos!BG13)/Datos!BG13),(Tasas!E13-Datos!BG13)/Datos!BG13," - ")</f>
        <v>-0.14398568185718275</v>
      </c>
      <c r="M13" t="e">
        <f>IF(Monitorios="SI",Datos!CE13,0)</f>
        <v>#REF!</v>
      </c>
      <c r="N13" t="e">
        <f>IF(Monitorios="SI",Datos!CF13,0)</f>
        <v>#REF!</v>
      </c>
      <c r="O13" t="e">
        <f>IF(Monitorios="SI",Datos!CG13,0)</f>
        <v>#REF!</v>
      </c>
      <c r="P13" t="e">
        <f>IF(Monitorios="SI",Datos!CH13,0)</f>
        <v>#REF!</v>
      </c>
      <c r="Q13">
        <f>IF(J_V="SI",0,Datos!AG13)</f>
        <v>458</v>
      </c>
      <c r="R13">
        <f>IF(J_V="SI",0,Datos!AH13)</f>
        <v>492</v>
      </c>
      <c r="S13">
        <f>IF(J_V="SI",0,Datos!AI13)</f>
        <v>518</v>
      </c>
      <c r="T13">
        <f>IF(J_V="SI",0,Datos!AJ13)</f>
        <v>432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-6.3373415664608385E-2</v>
      </c>
      <c r="E15" s="347">
        <f>IF(ISNUMBER(
   IF(D_I="SI",(Datos!J15-Datos!T15)/Datos!T15,(Datos!J15+Datos!AD15-(Datos!T15+Datos!AL15))/(Datos!T15+Datos!AL15))
     ),IF(D_I="SI",(Datos!J15-Datos!T15)/Datos!T15,(Datos!J15+Datos!AD15-(Datos!T15+Datos!AL15))/(Datos!T15+Datos!AL15))," - ")</f>
        <v>2.0485724879495737E-2</v>
      </c>
      <c r="F15" s="347">
        <f>IF(ISNUMBER(
   IF(D_I="SI",(Datos!K15-Datos!U15)/Datos!U15,(Datos!K15+Datos!AE15-(Datos!U15+Datos!AM15))/(Datos!U15+Datos!AM15))
     ),IF(D_I="SI",(Datos!K15-Datos!U15)/Datos!U15,(Datos!K15+Datos!AE15-(Datos!U15+Datos!AM15))/(Datos!U15+Datos!AM15))," - ")</f>
        <v>1.1360381861575179E-2</v>
      </c>
      <c r="G15" s="348">
        <f>IF(ISNUMBER(
   IF(D_I="SI",(Datos!L15-Datos!V15)/Datos!V15,(Datos!L15+Datos!AF15-(Datos!V15+Datos!AN15))/(Datos!V15+Datos!AN15))
     ),IF(D_I="SI",(Datos!L15-Datos!V15)/Datos!V15,(Datos!L15+Datos!AF15-(Datos!V15+Datos!AN15))/(Datos!V15+Datos!AN15))," - ")</f>
        <v>-5.5926673916420694E-3</v>
      </c>
      <c r="H15" s="229">
        <f>IF(ISNUMBER((Datos!M15-Datos!W15)/Datos!W15),(Datos!M15-Datos!W15)/Datos!W15," - ")</f>
        <v>-5.0805452292441142E-2</v>
      </c>
      <c r="I15" s="349">
        <f>IF(ISNUMBER((Tasas!C15-Datos!BE15)/Datos!BE15),(Tasas!C15-Datos!BE15)/Datos!BE15," - ")</f>
        <v>-1.6762619494756544E-2</v>
      </c>
      <c r="J15" s="348">
        <f>IF(ISNUMBER((Tasas!D15-Datos!BF15)/Datos!BF15),(Tasas!D15-Datos!BF15)/Datos!BF15," - ")</f>
        <v>-6.1467539433955228E-2</v>
      </c>
      <c r="K15" s="350">
        <f>IF(ISNUMBER((Tasas!E15-Datos!BG15)/Datos!BG15),(Tasas!E15-Datos!BG15)/Datos!BG15," - ")</f>
        <v>-2.1095933539267902E-2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-0.24105011933174225</v>
      </c>
      <c r="E17" s="347">
        <f>IF(ISNUMBER(
   IF(D_I="SI",(Datos!J17-Datos!T17)/Datos!T17,(Datos!J17+Datos!AD17-(Datos!T17+Datos!AL17))/(Datos!T17+Datos!AL17))
     ),IF(D_I="SI",(Datos!J17-Datos!T17)/Datos!T17,(Datos!J17+Datos!AD17-(Datos!T17+Datos!AL17))/(Datos!T17+Datos!AL17))," - ")</f>
        <v>-0.1901452937460518</v>
      </c>
      <c r="F17" s="347">
        <f>IF(ISNUMBER(
   IF(D_I="SI",(Datos!K17-Datos!U17)/Datos!U17,(Datos!K17+Datos!AE17-(Datos!U17+Datos!AM17))/(Datos!U17+Datos!AM17))
     ),IF(D_I="SI",(Datos!K17-Datos!U17)/Datos!U17,(Datos!K17+Datos!AE17-(Datos!U17+Datos!AM17))/(Datos!U17+Datos!AM17))," - ")</f>
        <v>-0.17026683608640406</v>
      </c>
      <c r="G17" s="348">
        <f>IF(ISNUMBER(
   IF(D_I="SI",(Datos!L17-Datos!V17)/Datos!V17,(Datos!L17+Datos!AF17-(Datos!V17+Datos!AN17))/(Datos!V17+Datos!AN17))
     ),IF(D_I="SI",(Datos!L17-Datos!V17)/Datos!V17,(Datos!L17+Datos!AF17-(Datos!V17+Datos!AN17))/(Datos!V17+Datos!AN17))," - ")</f>
        <v>-0.29119638826185101</v>
      </c>
      <c r="H17" s="229">
        <f>IF(ISNUMBER((Datos!M17-Datos!W17)/Datos!W17),(Datos!M17-Datos!W17)/Datos!W17," - ")</f>
        <v>-6.5476190476190479E-2</v>
      </c>
      <c r="I17" s="349">
        <f>IF(ISNUMBER((Tasas!C17-Datos!BE17)/Datos!BE17),(Tasas!C17-Datos!BE17)/Datos!BE17," - ")</f>
        <v>-0.14574511112109764</v>
      </c>
      <c r="J17" s="348">
        <f>IF(ISNUMBER((Tasas!D17-Datos!BF17)/Datos!BF17),(Tasas!D17-Datos!BF17)/Datos!BF17," - ")</f>
        <v>0.1262943921826005</v>
      </c>
      <c r="K17" s="350">
        <f>IF(ISNUMBER((Tasas!E17-Datos!BG17)/Datos!BG17),(Tasas!E17-Datos!BG17)/Datos!BG17," - ")</f>
        <v>-3.6797811682957281E-2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-7.4699528373649779E-2</v>
      </c>
      <c r="E18" s="353">
        <f>IF(ISNUMBER(
   IF(D_I="SI",(Datos!J18-Datos!T18)/Datos!T18,(Datos!J18+Datos!AD18-(Datos!T18+Datos!AL18))/(Datos!T18+Datos!AL18))
     ),IF(D_I="SI",(Datos!J18-Datos!T18)/Datos!T18,(Datos!J18+Datos!AD18-(Datos!T18+Datos!AL18))/(Datos!T18+Datos!AL18))," - ")</f>
        <v>-6.4667367229811652E-3</v>
      </c>
      <c r="F18" s="353">
        <f>IF(ISNUMBER(
   IF(D_I="SI",(Datos!K18-Datos!U18)/Datos!U18,(Datos!K18+Datos!AE18-(Datos!U18+Datos!AM18))/(Datos!U18+Datos!AM18))
     ),IF(D_I="SI",(Datos!K18-Datos!U18)/Datos!U18,(Datos!K18+Datos!AE18-(Datos!U18+Datos!AM18))/(Datos!U18+Datos!AM18))," - ")</f>
        <v>-1.2366171466511743E-2</v>
      </c>
      <c r="G18" s="354">
        <f>IF(ISNUMBER(
   IF(D_I="SI",(Datos!L18-Datos!V18)/Datos!V18,(Datos!L18+Datos!AF18-(Datos!V18+Datos!AN18))/(Datos!V18+Datos!AN18))
     ),IF(D_I="SI",(Datos!L18-Datos!V18)/Datos!V18,(Datos!L18+Datos!AF18-(Datos!V18+Datos!AN18))/(Datos!V18+Datos!AN18))," - ")</f>
        <v>-2.3982558139534885E-2</v>
      </c>
      <c r="H18" s="355">
        <f>IF(ISNUMBER((Datos!M18-Datos!W18)/Datos!W18),(Datos!M18-Datos!W18)/Datos!W18," - ")</f>
        <v>-5.3333333333333337E-2</v>
      </c>
      <c r="I18" s="356">
        <f>IF(ISNUMBER((Tasas!C18-Datos!BE18)/Datos!BE18),(Tasas!C18-Datos!BE18)/Datos!BE18," - ")</f>
        <v>-1.1761835548172735E-2</v>
      </c>
      <c r="J18" s="354">
        <f>IF(ISNUMBER((Tasas!D18-Datos!BF18)/Datos!BF18),(Tasas!D18-Datos!BF18)/Datos!BF18," - ")</f>
        <v>-4.1480112044817934E-2</v>
      </c>
      <c r="K18" s="357">
        <f>IF(ISNUMBER((Tasas!E18-Datos!BG18)/Datos!BG18),(Tasas!E18-Datos!BG18)/Datos!BG18," - ")</f>
        <v>-1.7997862785316805E-2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-8.8914245589396992E-2</v>
      </c>
      <c r="E19" s="362">
        <f>IF(ISNUMBER(
   IF(J_V="SI",(Datos!J19-Datos!T19)/Datos!T19,(Datos!J19+Datos!Z19-(Datos!T19+Datos!AH19))/(Datos!T19+Datos!AH19))
     ),IF(J_V="SI",(Datos!J19-Datos!T19)/Datos!T19,(Datos!J19+Datos!Z19-(Datos!T19+Datos!AH19))/(Datos!T19+Datos!AH19))," - ")</f>
        <v>-0.1260229132569558</v>
      </c>
      <c r="F19" s="362">
        <f>IF(ISNUMBER(
   IF(J_V="SI",(Datos!K19-Datos!U19)/Datos!U19,(Datos!K19+Datos!AA19-(Datos!U19+Datos!AI19))/(Datos!U19+Datos!AI19))
     ),IF(J_V="SI",(Datos!K19-Datos!U19)/Datos!U19,(Datos!K19+Datos!AA19-(Datos!U19+Datos!AI19))/(Datos!U19+Datos!AI19))," - ")</f>
        <v>-4.8795915601138572E-3</v>
      </c>
      <c r="G19" s="363">
        <f>IF(ISNUMBER(
   IF(J_V="SI",(Datos!L19-Datos!V19)/Datos!V19,(Datos!L19+Datos!AB19-(Datos!V19+Datos!AJ19))/(Datos!V19+Datos!AJ19))
     ),IF(J_V="SI",(Datos!L19-Datos!V19)/Datos!V19,(Datos!L19+Datos!AB19-(Datos!V19+Datos!AJ19))/(Datos!V19+Datos!AJ19))," - ")</f>
        <v>-0.15101911195796525</v>
      </c>
      <c r="H19" s="364">
        <f>IF(ISNUMBER((Datos!M19-Datos!W19)/Datos!W19),(Datos!M19-Datos!W19)/Datos!W19," - ")</f>
        <v>-0.15306767868437698</v>
      </c>
      <c r="I19" s="361">
        <f>IF(ISNUMBER((Tasas!C19-Datos!BE19)/Datos!BE19),(Tasas!C19-Datos!BE19)/Datos!BE19," - ")</f>
        <v>-0.14685611827312806</v>
      </c>
      <c r="J19" s="362">
        <f>IF(ISNUMBER((Tasas!D19-Datos!BF19)/Datos!BF19),(Tasas!D19-Datos!BF19)/Datos!BF19," - ")</f>
        <v>-9.1447797719275817E-2</v>
      </c>
      <c r="K19" s="363">
        <f>IF(ISNUMBER((Tasas!E19-Datos!BG19)/Datos!BG19),(Tasas!E19-Datos!BG19)/Datos!BG19," - ")</f>
        <v>-9.9292443625994861E-2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0.16570680079198249</v>
      </c>
      <c r="E21" s="277">
        <f t="shared" si="1"/>
        <v>0.10980069796738527</v>
      </c>
      <c r="F21" s="277">
        <f t="shared" si="1"/>
        <v>8.2825396358168643E-2</v>
      </c>
      <c r="G21" s="278">
        <f t="shared" si="1"/>
        <v>0.14971478866889418</v>
      </c>
      <c r="H21" s="284">
        <f t="shared" si="1"/>
        <v>0.25071130563134181</v>
      </c>
      <c r="I21" s="276">
        <f t="shared" si="1"/>
        <v>0.13050872132035535</v>
      </c>
      <c r="J21" s="277">
        <f t="shared" si="1"/>
        <v>0.2627636243130535</v>
      </c>
      <c r="K21" s="278">
        <f t="shared" si="1"/>
        <v>8.5781297113555893E-2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E/NGYgNjGy9uFmsaWXyLRerDxJB8wtduEhElVjiMy/NxE60ZT8Orvbbww1Naa7BNRZ1RhcTAMolYGQKQK1uBA==" saltValue="AfZg0ytRpfg3S7+P5fhC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